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workbookProtection workbookPassword="DEA8" lockStructure="1"/>
  <bookViews>
    <workbookView xWindow="240" yWindow="120" windowWidth="14805" windowHeight="8010"/>
  </bookViews>
  <sheets>
    <sheet name="kurumlar vergisi" sheetId="1" r:id="rId1"/>
    <sheet name="gelir vergisi" sheetId="4" r:id="rId2"/>
    <sheet name="kdv" sheetId="2" r:id="rId3"/>
    <sheet name="kdv-detay" sheetId="6" r:id="rId4"/>
    <sheet name="muh" sheetId="3" r:id="rId5"/>
    <sheet name="Sayfa1" sheetId="7" state="hidden" r:id="rId6"/>
  </sheets>
  <calcPr calcId="144525"/>
</workbook>
</file>

<file path=xl/calcChain.xml><?xml version="1.0" encoding="utf-8"?>
<calcChain xmlns="http://schemas.openxmlformats.org/spreadsheetml/2006/main">
  <c r="I8" i="1" l="1"/>
  <c r="G7" i="1"/>
  <c r="E6" i="3"/>
  <c r="G6" i="3" s="1"/>
  <c r="E7" i="3"/>
  <c r="H7" i="3" s="1"/>
  <c r="E8" i="3"/>
  <c r="H8" i="3" s="1"/>
  <c r="E9" i="3"/>
  <c r="G9" i="3" s="1"/>
  <c r="E5" i="3"/>
  <c r="G5" i="3" s="1"/>
  <c r="J6" i="2"/>
  <c r="J7" i="2"/>
  <c r="J8" i="2"/>
  <c r="J9" i="2"/>
  <c r="J5" i="2"/>
  <c r="G42" i="4"/>
  <c r="G41" i="4"/>
  <c r="G40" i="4"/>
  <c r="G39" i="4"/>
  <c r="G38" i="4"/>
  <c r="G31" i="4"/>
  <c r="G30" i="4"/>
  <c r="G29" i="4"/>
  <c r="G28" i="4"/>
  <c r="G27" i="4"/>
  <c r="K22" i="4"/>
  <c r="G20" i="4"/>
  <c r="G19" i="4"/>
  <c r="G18" i="4"/>
  <c r="G17" i="4"/>
  <c r="G16" i="4"/>
  <c r="G9" i="4"/>
  <c r="G8" i="4"/>
  <c r="G7" i="4"/>
  <c r="G6" i="4"/>
  <c r="G5" i="4"/>
  <c r="G9" i="1"/>
  <c r="G8" i="1"/>
  <c r="G6" i="1"/>
  <c r="G5" i="1"/>
  <c r="H9" i="3" l="1"/>
  <c r="G8" i="3"/>
  <c r="G7" i="3"/>
  <c r="H6" i="3"/>
  <c r="H5" i="3"/>
  <c r="G11" i="3" l="1"/>
  <c r="C18" i="6"/>
  <c r="C28" i="6"/>
  <c r="D28" i="6"/>
  <c r="E28" i="6"/>
  <c r="G28" i="6"/>
  <c r="F28" i="6"/>
  <c r="D18" i="6"/>
  <c r="E18" i="6"/>
  <c r="G18" i="6"/>
  <c r="F18" i="6"/>
  <c r="G16" i="6"/>
  <c r="F16" i="6"/>
  <c r="E16" i="6"/>
  <c r="D16" i="6"/>
  <c r="C16" i="6"/>
  <c r="C19" i="6" l="1"/>
  <c r="C20" i="6" s="1"/>
  <c r="C22" i="6" s="1"/>
  <c r="E19" i="6"/>
  <c r="E20" i="6" s="1"/>
  <c r="D19" i="6"/>
  <c r="D20" i="6" s="1"/>
  <c r="D22" i="6" s="1"/>
  <c r="F19" i="6"/>
  <c r="F20" i="6" s="1"/>
  <c r="G19" i="6"/>
  <c r="G20" i="6" s="1"/>
  <c r="E5" i="2"/>
  <c r="E42" i="4"/>
  <c r="I42" i="4" s="1"/>
  <c r="E41" i="4"/>
  <c r="I41" i="4" s="1"/>
  <c r="E40" i="4"/>
  <c r="I40" i="4" s="1"/>
  <c r="E39" i="4"/>
  <c r="I39" i="4" s="1"/>
  <c r="E38" i="4"/>
  <c r="I38" i="4" s="1"/>
  <c r="E31" i="4"/>
  <c r="I31" i="4" s="1"/>
  <c r="E30" i="4"/>
  <c r="I30" i="4" s="1"/>
  <c r="E29" i="4"/>
  <c r="I29" i="4" s="1"/>
  <c r="E28" i="4"/>
  <c r="I28" i="4" s="1"/>
  <c r="E27" i="4"/>
  <c r="I27" i="4" s="1"/>
  <c r="E20" i="4"/>
  <c r="I20" i="4" s="1"/>
  <c r="E19" i="4"/>
  <c r="I19" i="4" s="1"/>
  <c r="E18" i="4"/>
  <c r="I18" i="4" s="1"/>
  <c r="E17" i="4"/>
  <c r="I17" i="4" s="1"/>
  <c r="E16" i="4"/>
  <c r="I16" i="4" s="1"/>
  <c r="E9" i="4"/>
  <c r="I9" i="4" s="1"/>
  <c r="E8" i="4"/>
  <c r="I8" i="4" s="1"/>
  <c r="E7" i="4"/>
  <c r="I7" i="4" s="1"/>
  <c r="E6" i="4"/>
  <c r="I6" i="4" s="1"/>
  <c r="E5" i="4"/>
  <c r="I5" i="4" s="1"/>
  <c r="E9" i="2"/>
  <c r="E8" i="2"/>
  <c r="E7" i="2"/>
  <c r="E6" i="2"/>
  <c r="E9" i="1"/>
  <c r="I9" i="1" s="1"/>
  <c r="E8" i="1"/>
  <c r="E7" i="1"/>
  <c r="I7" i="1" s="1"/>
  <c r="E6" i="1"/>
  <c r="I6" i="1" s="1"/>
  <c r="E5" i="1"/>
  <c r="I5" i="1" s="1"/>
  <c r="G9" i="2" l="1"/>
  <c r="I9" i="2" s="1"/>
  <c r="G8" i="2"/>
  <c r="I8" i="2" s="1"/>
  <c r="G7" i="2"/>
  <c r="I7" i="2" s="1"/>
  <c r="G6" i="2"/>
  <c r="I6" i="2" s="1"/>
  <c r="G5" i="2"/>
  <c r="I5" i="2" s="1"/>
  <c r="L42" i="4"/>
  <c r="K42" i="4"/>
  <c r="L41" i="4"/>
  <c r="K41" i="4"/>
  <c r="L40" i="4"/>
  <c r="K40" i="4"/>
  <c r="L39" i="4"/>
  <c r="K39" i="4"/>
  <c r="L38" i="4"/>
  <c r="K38" i="4"/>
  <c r="K31" i="4"/>
  <c r="L31" i="4"/>
  <c r="K30" i="4"/>
  <c r="L30" i="4"/>
  <c r="L29" i="4"/>
  <c r="K29" i="4"/>
  <c r="K28" i="4"/>
  <c r="L28" i="4"/>
  <c r="K27" i="4"/>
  <c r="L27" i="4"/>
  <c r="L20" i="4"/>
  <c r="K20" i="4"/>
  <c r="L19" i="4"/>
  <c r="K19" i="4"/>
  <c r="K18" i="4"/>
  <c r="L18" i="4"/>
  <c r="L17" i="4"/>
  <c r="K17" i="4"/>
  <c r="L16" i="4"/>
  <c r="K16" i="4"/>
  <c r="L9" i="4"/>
  <c r="K9" i="4"/>
  <c r="L8" i="4"/>
  <c r="K8" i="4"/>
  <c r="K7" i="4"/>
  <c r="L7" i="4"/>
  <c r="K6" i="4"/>
  <c r="L6" i="4"/>
  <c r="L5" i="4"/>
  <c r="K5" i="4"/>
  <c r="L9" i="1"/>
  <c r="K9" i="1"/>
  <c r="K8" i="1"/>
  <c r="L8" i="1"/>
  <c r="K7" i="1"/>
  <c r="L7" i="1"/>
  <c r="K6" i="1"/>
  <c r="L6" i="1"/>
  <c r="K5" i="1"/>
  <c r="L5" i="1"/>
  <c r="E22" i="6"/>
  <c r="E24" i="6" s="1"/>
  <c r="E30" i="6" s="1"/>
  <c r="G22" i="6"/>
  <c r="G24" i="6" s="1"/>
  <c r="G30" i="6" s="1"/>
  <c r="F22" i="6"/>
  <c r="F24" i="6" s="1"/>
  <c r="F30" i="6" s="1"/>
  <c r="C24" i="6"/>
  <c r="D24" i="6"/>
  <c r="I22" i="4"/>
  <c r="I44" i="4"/>
  <c r="I33" i="4"/>
  <c r="I11" i="4"/>
  <c r="I11" i="1"/>
  <c r="E11" i="3"/>
  <c r="K11" i="1" l="1"/>
  <c r="I11" i="2"/>
  <c r="G11" i="2"/>
  <c r="K44" i="4"/>
  <c r="K33" i="4"/>
  <c r="K11" i="4"/>
  <c r="G32" i="6"/>
  <c r="C30" i="6"/>
  <c r="D30" i="6"/>
  <c r="H10" i="3"/>
  <c r="H11" i="3" s="1"/>
  <c r="L10" i="1"/>
  <c r="L11" i="1" s="1"/>
  <c r="L21" i="4"/>
  <c r="L22" i="4" s="1"/>
  <c r="L10" i="4"/>
  <c r="L11" i="4" s="1"/>
  <c r="L43" i="4"/>
  <c r="L44" i="4" s="1"/>
  <c r="L32" i="4"/>
  <c r="L33" i="4" s="1"/>
  <c r="J10" i="2" l="1"/>
  <c r="J11" i="2" s="1"/>
  <c r="G33" i="6"/>
</calcChain>
</file>

<file path=xl/sharedStrings.xml><?xml version="1.0" encoding="utf-8"?>
<sst xmlns="http://schemas.openxmlformats.org/spreadsheetml/2006/main" count="171" uniqueCount="78">
  <si>
    <t>Beyan Edilen Matrah</t>
  </si>
  <si>
    <t>Matrah Oranı</t>
  </si>
  <si>
    <t>Vergi Oranı</t>
  </si>
  <si>
    <t>Yıllar</t>
  </si>
  <si>
    <t>Ödenecek Vergi</t>
  </si>
  <si>
    <t>Toplam</t>
  </si>
  <si>
    <t>En Az Matrah</t>
  </si>
  <si>
    <t>Hesaplanan Matrah</t>
  </si>
  <si>
    <t>Kurumlar Vergisi Mükellefleri İçin Matrah Artırımı</t>
  </si>
  <si>
    <t>Gelir Vergisi Mükellefleri İçin Matrah Artırımı (Geliri Sadece Basit Usulde Tespit Edilen Ticari Kazançtan Oluşan Mükellefler)</t>
  </si>
  <si>
    <t>Gelir Vergisi Mükellefleri İçin Matrah Artırımı (Geliri Sadece Gayri Menkul Sermaye İradından Oluşan Mükellefler)</t>
  </si>
  <si>
    <t>Katma Değer Vergisi İçin Matrah Artırımı</t>
  </si>
  <si>
    <t>Hesaplanan KDV</t>
  </si>
  <si>
    <t>Gelir Vergisi Mükellefleri İçin Matrah Artırımı (Bilanço Usulüne Göre Defter Tutan Mükellefler ile Serbest Meslek Erbabı)</t>
  </si>
  <si>
    <t>Gelir Vergisi Mükellefleri İçin Matrah Artırımı (İşletme Hesabı Esasına Göre Defter Tutan Mükellefler ile Diğer Mükellefler)</t>
  </si>
  <si>
    <t>Not:</t>
  </si>
  <si>
    <t xml:space="preserve">1-Artırılan matrahlar %20 oranında vergilendirilir. Ancak, ilgili yıl beyannamelerinin kanuni süresinde verilmiş ve tahakuk eden </t>
  </si>
  <si>
    <t xml:space="preserve">2-İşe başlama ve işi bırakma gibi nedenlerle kıst dönemde faaliyette bulunulmuş olması halinde, ilgili yıl için belirlenen asgari </t>
  </si>
  <si>
    <t>matrahlar faaliyette bulunulan ay sayısı dikkate alınarak hesaplanır. (ay kesirleri tam ay olarak dikkate alınacaktır)</t>
  </si>
  <si>
    <t>6 taksit</t>
  </si>
  <si>
    <t>taksitle ödenmek istenmesi halinde taksit tutarları</t>
  </si>
  <si>
    <t>Tecil Edilen Vergi</t>
  </si>
  <si>
    <t>Net Hesaplanan KDV</t>
  </si>
  <si>
    <t xml:space="preserve">1-3065 sayılı KDV Kanununun 11/1-c  ve geçici 17. maddelerine göre tecil-terkin uygulamasından yararlanan mükellefler artırıma </t>
  </si>
  <si>
    <t>esas tutarı belirlerken tecil edilen vergiler hesaplanan KDV den düşülecektir.</t>
  </si>
  <si>
    <t xml:space="preserve">3-İlgili yılda hiç beyanname verilmemiş veya 1-2 dönem verilmiş olması yada matrah bulunmaması halinde ilgili yıl için gelir veya </t>
  </si>
  <si>
    <t>kurumlar vergisi matrah artırımında bulunulmuş olması şartıyla artırılan matrah üzerinden %18 oranında KDV artırımı yapılacaktır.</t>
  </si>
  <si>
    <t xml:space="preserve">2-İlgili yılda en az 3 döneme ait beyannamenin verilmiş olması halinde (3 ayda bir beyanname verenler için en az 1 dönem) bu </t>
  </si>
  <si>
    <t>beyannamelerdeki hes.KDV tutarının ortalaması bir yıla iblağ edilerek artırıma esas olmak üzere yıllık hes. KDV tutarı bulunacaktır.</t>
  </si>
  <si>
    <t>Taksit Toplamı</t>
  </si>
  <si>
    <t>Muhtasar Beyanname İçin Matrah Artırımı</t>
  </si>
  <si>
    <t>Ücret Gayri Safi Tutar</t>
  </si>
  <si>
    <t xml:space="preserve">1-İlgili yılda en az 1 döneme ait beyannamenin verilmiş olması halinde  bu beyannamelerdeki ücret ödemelerine ilişkin gayrisafi  </t>
  </si>
  <si>
    <t>tutarın ortalaması bir yıla iblağ edilerek artırıma esas olmak üzere yıllık ücretler üzerinden gelir vergisi matrahı bulunur.</t>
  </si>
  <si>
    <t>c)APHB nin hiç verilmemiş olması halinde en az iki işçi çalıştığı kabul edilerek,</t>
  </si>
  <si>
    <t>a)ilgili yıl için verilmiş olan aylık prim ve hizmet belgesinde bildirilen ortalama işçi sayısı kadar,</t>
  </si>
  <si>
    <t>b)APHB nin de hiç verilmemiş olması halinde, izleyen vergilendirme dönemlerinde verilen ilk APHB ndeki işçi sayısı kadar,</t>
  </si>
  <si>
    <t xml:space="preserve">   ilgili yılın son asgari ücretine göre belirlenecek gelir vergisi matrahı belirlenen işçi sayısı ile çarpılarak, yıla iblağ edilecektir.</t>
  </si>
  <si>
    <t>2-İlgili yılda hiç beyanname verilmemiş olması halinde, her ay için hesaplanacak asgari gelir vergisine esas olmak üzere en az;</t>
  </si>
  <si>
    <t xml:space="preserve">   5.maddesinin 2.fıkrası altındaki detaylı açıklamalara göre hareket edilmesi gerekmektedir.</t>
  </si>
  <si>
    <t>www.maligundem.com</t>
  </si>
  <si>
    <t>Ocak</t>
  </si>
  <si>
    <t>Şubat</t>
  </si>
  <si>
    <t>Mart</t>
  </si>
  <si>
    <t>Nisan</t>
  </si>
  <si>
    <t>Mayıs</t>
  </si>
  <si>
    <t>Haziran</t>
  </si>
  <si>
    <t>Temmuz</t>
  </si>
  <si>
    <t>Ağustos</t>
  </si>
  <si>
    <t>Eylül</t>
  </si>
  <si>
    <t>Ekim</t>
  </si>
  <si>
    <t>Kasım</t>
  </si>
  <si>
    <t>Aralık</t>
  </si>
  <si>
    <t>HESAPLANAN KDV</t>
  </si>
  <si>
    <t>Toplam Matrah</t>
  </si>
  <si>
    <t>Toplam Hesaplanan Vergi</t>
  </si>
  <si>
    <t>Gelir / Kurumlar Vergisi Matrah Artırım Tutarı</t>
  </si>
  <si>
    <t>Vergi Oranı (%)</t>
  </si>
  <si>
    <t>Artırım Tutarı</t>
  </si>
  <si>
    <t>K.D.V. Artırım Tutarı</t>
  </si>
  <si>
    <t>Ortalama Vergi Tutarı</t>
  </si>
  <si>
    <t>Beyanname Verilen Dönem Sayısı</t>
  </si>
  <si>
    <t>Yıllık Hesaplanan KDV</t>
  </si>
  <si>
    <t>Tecil Edilebilir Vergi</t>
  </si>
  <si>
    <t>Artırıma Esas Tutar</t>
  </si>
  <si>
    <t>KDV Artırım Tutarı</t>
  </si>
  <si>
    <t>İlgili yılda KDV Beyannamelerinin bazılarında Hesaplanan KDV bulunmaması halinde, gelir veya kurumlar vergisi için matra artırımında</t>
  </si>
  <si>
    <t>bulunulmuş olması şartıyla, bu matrah üzerinden %18 oranında KDV artırımı da hesaplanarak büyük olan dikkate alınacaktır.</t>
  </si>
  <si>
    <t>1-Beyanname verilmedi ise ilgili ayın karşısı boş bıralıkmalı.</t>
  </si>
  <si>
    <t>2- Beyanname verilip hesaplanan KDV bulunmuyorsa ilgili ayın karşısına sıfır yazılmalı.</t>
  </si>
  <si>
    <t>Katma Değer Vergisi Matrah Artırımı İçin Detay Hesaplama</t>
  </si>
  <si>
    <t>vergilerin zamanında ödenmiş ve 7326-2 ve 3.maddeden yararlanılmamış olması şartıyla artırılan matrahlar %15 oranında vergilendirilir.</t>
  </si>
  <si>
    <t xml:space="preserve">3-Muhtasar Beyanname için tablo sadece işçi stopaj yönünden hazırlanmış olup, diğer stopaj türleri için 7326 sayılı kanunun </t>
  </si>
  <si>
    <t>www.marjinaldenetim.com.tr</t>
  </si>
  <si>
    <t>Dönem Sayısı</t>
  </si>
  <si>
    <t>peşin</t>
  </si>
  <si>
    <t>peşin ödenmek istenmesi halinde 
(%10 indirimli)</t>
  </si>
  <si>
    <t>Peşin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</si>
</sst>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1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sz val="11"/>
      <name val="Calibri"/>
      <family val="2"/>
      <charset val="162"/>
      <scheme val="minor"/>
    </font>
    <font>
      <sz val="11"/>
      <color rgb="FF0070C0"/>
      <name val="Calibri"/>
      <family val="2"/>
      <charset val="162"/>
      <scheme val="minor"/>
    </font>
    <font>
      <b/>
      <sz val="11"/>
      <color rgb="FFFF0000"/>
      <name val="Calibri"/>
      <family val="2"/>
      <charset val="162"/>
      <scheme val="minor"/>
    </font>
    <font>
      <u/>
      <sz val="11"/>
      <color rgb="FFFF0000"/>
      <name val="Calibri"/>
      <family val="2"/>
      <charset val="162"/>
      <scheme val="minor"/>
    </font>
    <font>
      <b/>
      <u/>
      <sz val="11"/>
      <color rgb="FFFF0000"/>
      <name val="Calibri"/>
      <family val="2"/>
      <charset val="162"/>
      <scheme val="minor"/>
    </font>
    <font>
      <u/>
      <sz val="11"/>
      <color theme="10"/>
      <name val="Calibri"/>
      <family val="2"/>
      <charset val="162"/>
    </font>
    <font>
      <sz val="11"/>
      <color theme="1"/>
      <name val="Calibri"/>
      <family val="2"/>
      <charset val="162"/>
      <scheme val="minor"/>
    </font>
    <font>
      <b/>
      <sz val="12"/>
      <color rgb="FFFF0000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  <xf numFmtId="9" fontId="9" fillId="0" borderId="0" applyFont="0" applyFill="0" applyBorder="0" applyAlignment="0" applyProtection="0"/>
  </cellStyleXfs>
  <cellXfs count="66">
    <xf numFmtId="0" fontId="0" fillId="0" borderId="0" xfId="0"/>
    <xf numFmtId="4" fontId="1" fillId="0" borderId="1" xfId="0" applyNumberFormat="1" applyFont="1" applyFill="1" applyBorder="1" applyAlignment="1">
      <alignment horizontal="center"/>
    </xf>
    <xf numFmtId="4" fontId="0" fillId="0" borderId="1" xfId="0" applyNumberFormat="1" applyFill="1" applyBorder="1"/>
    <xf numFmtId="4" fontId="0" fillId="0" borderId="0" xfId="0" applyNumberFormat="1" applyFill="1"/>
    <xf numFmtId="4" fontId="1" fillId="0" borderId="0" xfId="0" applyNumberFormat="1" applyFont="1" applyFill="1"/>
    <xf numFmtId="0" fontId="1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0" xfId="0" applyFill="1" applyAlignment="1">
      <alignment horizontal="center"/>
    </xf>
    <xf numFmtId="0" fontId="1" fillId="0" borderId="0" xfId="0" applyFont="1" applyFill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 applyAlignment="1">
      <alignment horizontal="left" wrapText="1"/>
    </xf>
    <xf numFmtId="4" fontId="0" fillId="0" borderId="0" xfId="0" applyNumberFormat="1" applyFill="1" applyBorder="1"/>
    <xf numFmtId="4" fontId="3" fillId="0" borderId="0" xfId="0" applyNumberFormat="1" applyFont="1" applyFill="1"/>
    <xf numFmtId="9" fontId="0" fillId="0" borderId="1" xfId="0" applyNumberFormat="1" applyFill="1" applyBorder="1" applyAlignment="1">
      <alignment horizontal="center"/>
    </xf>
    <xf numFmtId="4" fontId="2" fillId="0" borderId="0" xfId="0" applyNumberFormat="1" applyFont="1" applyFill="1"/>
    <xf numFmtId="0" fontId="0" fillId="0" borderId="0" xfId="0" applyFill="1"/>
    <xf numFmtId="0" fontId="10" fillId="0" borderId="0" xfId="0" applyFont="1" applyFill="1" applyAlignment="1">
      <alignment horizontal="left"/>
    </xf>
    <xf numFmtId="0" fontId="1" fillId="0" borderId="0" xfId="0" applyFont="1" applyFill="1"/>
    <xf numFmtId="4" fontId="0" fillId="0" borderId="2" xfId="0" applyNumberFormat="1" applyFill="1" applyBorder="1" applyAlignment="1">
      <alignment horizontal="center" wrapText="1"/>
    </xf>
    <xf numFmtId="0" fontId="1" fillId="0" borderId="1" xfId="0" applyNumberFormat="1" applyFont="1" applyFill="1" applyBorder="1" applyAlignment="1">
      <alignment horizontal="center"/>
    </xf>
    <xf numFmtId="4" fontId="0" fillId="0" borderId="1" xfId="0" applyNumberFormat="1" applyFill="1" applyBorder="1" applyProtection="1">
      <protection locked="0"/>
    </xf>
    <xf numFmtId="9" fontId="0" fillId="0" borderId="1" xfId="0" applyNumberFormat="1" applyFill="1" applyBorder="1" applyAlignment="1" applyProtection="1">
      <alignment horizontal="center"/>
      <protection locked="0"/>
    </xf>
    <xf numFmtId="4" fontId="1" fillId="0" borderId="1" xfId="0" applyNumberFormat="1" applyFont="1" applyFill="1" applyBorder="1"/>
    <xf numFmtId="4" fontId="0" fillId="0" borderId="1" xfId="0" applyNumberFormat="1" applyFont="1" applyFill="1" applyBorder="1"/>
    <xf numFmtId="0" fontId="7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4" fontId="4" fillId="0" borderId="0" xfId="0" applyNumberFormat="1" applyFont="1" applyFill="1"/>
    <xf numFmtId="0" fontId="2" fillId="0" borderId="0" xfId="0" applyFont="1" applyFill="1" applyAlignment="1">
      <alignment horizontal="left"/>
    </xf>
    <xf numFmtId="0" fontId="8" fillId="0" borderId="0" xfId="1" applyFill="1" applyAlignment="1" applyProtection="1">
      <alignment horizontal="center"/>
    </xf>
    <xf numFmtId="0" fontId="0" fillId="0" borderId="0" xfId="0" applyFill="1" applyAlignment="1">
      <alignment horizontal="left"/>
    </xf>
    <xf numFmtId="0" fontId="8" fillId="0" borderId="0" xfId="1" applyFill="1" applyAlignment="1" applyProtection="1">
      <alignment horizontal="right"/>
    </xf>
    <xf numFmtId="9" fontId="0" fillId="0" borderId="0" xfId="2" applyFont="1"/>
    <xf numFmtId="4" fontId="0" fillId="0" borderId="0" xfId="0" applyNumberFormat="1" applyFont="1" applyFill="1" applyAlignment="1">
      <alignment horizontal="center" wrapText="1"/>
    </xf>
    <xf numFmtId="4" fontId="0" fillId="0" borderId="2" xfId="0" applyNumberFormat="1" applyFont="1" applyFill="1" applyBorder="1" applyAlignment="1">
      <alignment horizontal="center" wrapText="1"/>
    </xf>
    <xf numFmtId="4" fontId="1" fillId="0" borderId="0" xfId="0" applyNumberFormat="1" applyFont="1" applyFill="1" applyBorder="1" applyAlignment="1">
      <alignment horizontal="center"/>
    </xf>
    <xf numFmtId="4" fontId="1" fillId="0" borderId="0" xfId="0" applyNumberFormat="1" applyFont="1" applyFill="1" applyBorder="1"/>
    <xf numFmtId="0" fontId="5" fillId="0" borderId="0" xfId="0" applyFont="1" applyFill="1" applyAlignment="1">
      <alignment horizontal="left"/>
    </xf>
    <xf numFmtId="164" fontId="0" fillId="0" borderId="1" xfId="0" applyNumberFormat="1" applyFill="1" applyBorder="1" applyAlignment="1" applyProtection="1">
      <alignment horizontal="center"/>
    </xf>
    <xf numFmtId="4" fontId="1" fillId="0" borderId="1" xfId="0" applyNumberFormat="1" applyFont="1" applyFill="1" applyBorder="1" applyAlignment="1">
      <alignment horizontal="right"/>
    </xf>
    <xf numFmtId="0" fontId="0" fillId="0" borderId="1" xfId="0" applyFill="1" applyBorder="1" applyAlignment="1">
      <alignment horizontal="right"/>
    </xf>
    <xf numFmtId="0" fontId="1" fillId="0" borderId="3" xfId="0" applyFont="1" applyFill="1" applyBorder="1" applyAlignment="1">
      <alignment horizontal="center"/>
    </xf>
    <xf numFmtId="0" fontId="0" fillId="0" borderId="0" xfId="0" applyFill="1" applyAlignment="1">
      <alignment horizontal="center" wrapText="1"/>
    </xf>
    <xf numFmtId="0" fontId="0" fillId="0" borderId="0" xfId="0" applyFill="1" applyAlignment="1">
      <alignment wrapText="1"/>
    </xf>
    <xf numFmtId="4" fontId="0" fillId="0" borderId="0" xfId="0" applyNumberFormat="1" applyFill="1" applyAlignment="1" applyProtection="1">
      <alignment horizontal="right"/>
      <protection locked="0"/>
    </xf>
    <xf numFmtId="0" fontId="1" fillId="0" borderId="3" xfId="0" applyFont="1" applyFill="1" applyBorder="1" applyAlignment="1">
      <alignment horizontal="center" wrapText="1"/>
    </xf>
    <xf numFmtId="4" fontId="1" fillId="0" borderId="3" xfId="0" applyNumberFormat="1" applyFont="1" applyFill="1" applyBorder="1" applyAlignment="1">
      <alignment horizontal="right"/>
    </xf>
    <xf numFmtId="0" fontId="0" fillId="0" borderId="4" xfId="0" applyFill="1" applyBorder="1" applyAlignment="1">
      <alignment horizontal="left" wrapText="1"/>
    </xf>
    <xf numFmtId="3" fontId="0" fillId="0" borderId="4" xfId="0" applyNumberFormat="1" applyFill="1" applyBorder="1" applyAlignment="1">
      <alignment horizontal="right"/>
    </xf>
    <xf numFmtId="4" fontId="0" fillId="0" borderId="0" xfId="0" applyNumberFormat="1" applyFill="1" applyAlignment="1">
      <alignment horizontal="right"/>
    </xf>
    <xf numFmtId="10" fontId="0" fillId="0" borderId="0" xfId="2" applyNumberFormat="1" applyFont="1" applyFill="1" applyAlignment="1">
      <alignment horizontal="right"/>
    </xf>
    <xf numFmtId="0" fontId="0" fillId="0" borderId="2" xfId="0" applyFill="1" applyBorder="1"/>
    <xf numFmtId="4" fontId="0" fillId="0" borderId="2" xfId="0" applyNumberFormat="1" applyFill="1" applyBorder="1" applyAlignment="1">
      <alignment horizontal="right"/>
    </xf>
    <xf numFmtId="0" fontId="0" fillId="0" borderId="4" xfId="0" applyFill="1" applyBorder="1"/>
    <xf numFmtId="4" fontId="0" fillId="0" borderId="4" xfId="0" applyNumberFormat="1" applyFill="1" applyBorder="1" applyAlignment="1" applyProtection="1">
      <alignment horizontal="right"/>
      <protection locked="0"/>
    </xf>
    <xf numFmtId="0" fontId="0" fillId="0" borderId="0" xfId="0" applyFill="1" applyBorder="1"/>
    <xf numFmtId="10" fontId="0" fillId="0" borderId="0" xfId="2" applyNumberFormat="1" applyFont="1" applyFill="1" applyBorder="1" applyAlignment="1"/>
    <xf numFmtId="0" fontId="0" fillId="0" borderId="3" xfId="0" applyFill="1" applyBorder="1"/>
    <xf numFmtId="4" fontId="0" fillId="0" borderId="3" xfId="0" applyNumberFormat="1" applyFill="1" applyBorder="1" applyAlignment="1">
      <alignment horizontal="right"/>
    </xf>
    <xf numFmtId="0" fontId="7" fillId="0" borderId="0" xfId="0" applyFont="1" applyFill="1" applyAlignment="1">
      <alignment horizontal="left"/>
    </xf>
    <xf numFmtId="0" fontId="6" fillId="0" borderId="0" xfId="0" applyFont="1" applyFill="1" applyAlignment="1">
      <alignment horizontal="left"/>
    </xf>
    <xf numFmtId="4" fontId="6" fillId="0" borderId="0" xfId="0" applyNumberFormat="1" applyFont="1" applyFill="1"/>
    <xf numFmtId="3" fontId="0" fillId="0" borderId="1" xfId="0" applyNumberFormat="1" applyFill="1" applyBorder="1" applyAlignment="1" applyProtection="1">
      <alignment horizontal="center"/>
      <protection locked="0"/>
    </xf>
    <xf numFmtId="4" fontId="0" fillId="0" borderId="2" xfId="0" applyNumberFormat="1" applyBorder="1" applyAlignment="1">
      <alignment horizontal="center" wrapText="1"/>
    </xf>
    <xf numFmtId="4" fontId="1" fillId="0" borderId="1" xfId="0" applyNumberFormat="1" applyFont="1" applyBorder="1" applyAlignment="1">
      <alignment horizontal="center"/>
    </xf>
    <xf numFmtId="0" fontId="0" fillId="0" borderId="1" xfId="0" applyFill="1" applyBorder="1"/>
    <xf numFmtId="4" fontId="1" fillId="0" borderId="1" xfId="0" applyNumberFormat="1" applyFont="1" applyFill="1" applyBorder="1" applyAlignment="1" applyProtection="1">
      <alignment horizontal="center"/>
    </xf>
  </cellXfs>
  <cellStyles count="3">
    <cellStyle name="Köprü" xfId="1" builtinId="8"/>
    <cellStyle name="Normal" xfId="0" builtinId="0"/>
    <cellStyle name="Yüzde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maligundem.com/" TargetMode="External"/><Relationship Id="rId1" Type="http://schemas.openxmlformats.org/officeDocument/2006/relationships/hyperlink" Target="http://www.marjinaldenetim.com.tr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www.maligundem.com/" TargetMode="External"/><Relationship Id="rId1" Type="http://schemas.openxmlformats.org/officeDocument/2006/relationships/hyperlink" Target="http://www.marjinaldenetim.com.tr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://www.marjinaldenetim.com.tr/" TargetMode="External"/><Relationship Id="rId2" Type="http://schemas.openxmlformats.org/officeDocument/2006/relationships/hyperlink" Target="http://www.maligundem.com/" TargetMode="External"/><Relationship Id="rId1" Type="http://schemas.openxmlformats.org/officeDocument/2006/relationships/hyperlink" Target="http://www.marjinaldenetim.com.tr/" TargetMode="External"/><Relationship Id="rId5" Type="http://schemas.openxmlformats.org/officeDocument/2006/relationships/printerSettings" Target="../printerSettings/printerSettings3.bin"/><Relationship Id="rId4" Type="http://schemas.openxmlformats.org/officeDocument/2006/relationships/hyperlink" Target="http://www.maligundem.com/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://www.maligundem.com/" TargetMode="External"/><Relationship Id="rId1" Type="http://schemas.openxmlformats.org/officeDocument/2006/relationships/hyperlink" Target="http://www.marjinaldenetim.com.tr/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http://www.maligundem.com/" TargetMode="External"/><Relationship Id="rId1" Type="http://schemas.openxmlformats.org/officeDocument/2006/relationships/hyperlink" Target="http://www.marjinaldenetim.com.t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24"/>
  <sheetViews>
    <sheetView tabSelected="1" workbookViewId="0">
      <selection activeCell="I11" sqref="I11"/>
    </sheetView>
  </sheetViews>
  <sheetFormatPr defaultRowHeight="15" x14ac:dyDescent="0.25"/>
  <cols>
    <col min="1" max="1" width="3.7109375" style="15" customWidth="1"/>
    <col min="2" max="2" width="12.42578125" style="7" bestFit="1" customWidth="1"/>
    <col min="3" max="3" width="19.7109375" style="3" customWidth="1"/>
    <col min="4" max="4" width="12.42578125" style="7" bestFit="1" customWidth="1"/>
    <col min="5" max="5" width="19.7109375" style="3" customWidth="1"/>
    <col min="6" max="6" width="12.85546875" style="3" bestFit="1" customWidth="1"/>
    <col min="7" max="7" width="19.7109375" style="3" customWidth="1"/>
    <col min="8" max="8" width="12.42578125" style="7" bestFit="1" customWidth="1"/>
    <col min="9" max="9" width="15.42578125" style="3" bestFit="1" customWidth="1"/>
    <col min="10" max="10" width="3.7109375" style="15" customWidth="1"/>
    <col min="11" max="11" width="18.28515625" style="15" customWidth="1"/>
    <col min="12" max="12" width="21.140625" style="3" customWidth="1"/>
    <col min="13" max="16384" width="9.140625" style="15"/>
  </cols>
  <sheetData>
    <row r="1" spans="2:12" x14ac:dyDescent="0.25">
      <c r="B1" s="14"/>
    </row>
    <row r="3" spans="2:12" s="17" customFormat="1" ht="45" x14ac:dyDescent="0.25">
      <c r="B3" s="16" t="s">
        <v>8</v>
      </c>
      <c r="C3" s="4"/>
      <c r="D3" s="8"/>
      <c r="E3" s="4"/>
      <c r="F3" s="4"/>
      <c r="G3" s="4"/>
      <c r="H3" s="8"/>
      <c r="I3" s="32"/>
      <c r="K3" s="62" t="s">
        <v>76</v>
      </c>
      <c r="L3" s="18" t="s">
        <v>20</v>
      </c>
    </row>
    <row r="4" spans="2:12" s="8" customFormat="1" x14ac:dyDescent="0.25">
      <c r="B4" s="5" t="s">
        <v>3</v>
      </c>
      <c r="C4" s="1" t="s">
        <v>0</v>
      </c>
      <c r="D4" s="5" t="s">
        <v>1</v>
      </c>
      <c r="E4" s="1" t="s">
        <v>7</v>
      </c>
      <c r="F4" s="1" t="s">
        <v>74</v>
      </c>
      <c r="G4" s="1" t="s">
        <v>6</v>
      </c>
      <c r="H4" s="5" t="s">
        <v>2</v>
      </c>
      <c r="I4" s="1" t="s">
        <v>4</v>
      </c>
      <c r="K4" s="63" t="s">
        <v>75</v>
      </c>
      <c r="L4" s="1" t="s">
        <v>19</v>
      </c>
    </row>
    <row r="5" spans="2:12" x14ac:dyDescent="0.25">
      <c r="B5" s="19">
        <v>2016</v>
      </c>
      <c r="C5" s="20"/>
      <c r="D5" s="13">
        <v>0.35</v>
      </c>
      <c r="E5" s="2">
        <f>ROUND((C5*D5),2)</f>
        <v>0</v>
      </c>
      <c r="F5" s="61">
        <v>12</v>
      </c>
      <c r="G5" s="2">
        <f>ROUND(94000/12*F5,2)</f>
        <v>94000</v>
      </c>
      <c r="H5" s="21">
        <v>0.2</v>
      </c>
      <c r="I5" s="22">
        <f>IF(C5="",0,ROUND(((IF(E5&gt;G5,E5,G5))*H5),2))</f>
        <v>0</v>
      </c>
      <c r="K5" s="2">
        <f>ROUND(I5*0.9,2)</f>
        <v>0</v>
      </c>
      <c r="L5" s="23">
        <f>ROUND((($I5*1.09)/6),2)</f>
        <v>0</v>
      </c>
    </row>
    <row r="6" spans="2:12" x14ac:dyDescent="0.25">
      <c r="B6" s="19">
        <v>2017</v>
      </c>
      <c r="C6" s="20"/>
      <c r="D6" s="13">
        <v>0.3</v>
      </c>
      <c r="E6" s="2">
        <f t="shared" ref="E6:E9" si="0">ROUND((C6*D6),2)</f>
        <v>0</v>
      </c>
      <c r="F6" s="61">
        <v>12</v>
      </c>
      <c r="G6" s="2">
        <f>ROUND(99600/12*F6,2)</f>
        <v>99600</v>
      </c>
      <c r="H6" s="21">
        <v>0.2</v>
      </c>
      <c r="I6" s="22">
        <f t="shared" ref="I6:I9" si="1">IF(C6="",0,ROUND(((IF(E6&gt;G6,E6,G6))*H6),2))</f>
        <v>0</v>
      </c>
      <c r="K6" s="2">
        <f t="shared" ref="K6:K9" si="2">ROUND(I6*0.9,2)</f>
        <v>0</v>
      </c>
      <c r="L6" s="23">
        <f t="shared" ref="L6:L9" si="3">ROUND((($I6*1.09)/6),2)</f>
        <v>0</v>
      </c>
    </row>
    <row r="7" spans="2:12" x14ac:dyDescent="0.25">
      <c r="B7" s="19">
        <v>2018</v>
      </c>
      <c r="C7" s="20"/>
      <c r="D7" s="13">
        <v>0.25</v>
      </c>
      <c r="E7" s="2">
        <f t="shared" si="0"/>
        <v>0</v>
      </c>
      <c r="F7" s="61">
        <v>12</v>
      </c>
      <c r="G7" s="2">
        <f>ROUND(105800/12*F7,2)</f>
        <v>105800</v>
      </c>
      <c r="H7" s="21">
        <v>0.2</v>
      </c>
      <c r="I7" s="22">
        <f t="shared" si="1"/>
        <v>0</v>
      </c>
      <c r="K7" s="2">
        <f t="shared" si="2"/>
        <v>0</v>
      </c>
      <c r="L7" s="23">
        <f t="shared" si="3"/>
        <v>0</v>
      </c>
    </row>
    <row r="8" spans="2:12" x14ac:dyDescent="0.25">
      <c r="B8" s="19">
        <v>2019</v>
      </c>
      <c r="C8" s="20"/>
      <c r="D8" s="13">
        <v>0.2</v>
      </c>
      <c r="E8" s="2">
        <f t="shared" si="0"/>
        <v>0</v>
      </c>
      <c r="F8" s="61">
        <v>12</v>
      </c>
      <c r="G8" s="2">
        <f>ROUND(112400/12*F8,2)</f>
        <v>112400</v>
      </c>
      <c r="H8" s="21">
        <v>0.2</v>
      </c>
      <c r="I8" s="22">
        <f t="shared" si="1"/>
        <v>0</v>
      </c>
      <c r="K8" s="2">
        <f t="shared" si="2"/>
        <v>0</v>
      </c>
      <c r="L8" s="23">
        <f t="shared" si="3"/>
        <v>0</v>
      </c>
    </row>
    <row r="9" spans="2:12" x14ac:dyDescent="0.25">
      <c r="B9" s="19">
        <v>2020</v>
      </c>
      <c r="C9" s="20"/>
      <c r="D9" s="13">
        <v>0.15</v>
      </c>
      <c r="E9" s="2">
        <f t="shared" si="0"/>
        <v>0</v>
      </c>
      <c r="F9" s="61">
        <v>12</v>
      </c>
      <c r="G9" s="2">
        <f>ROUND(127500/12*F9,2)</f>
        <v>127500</v>
      </c>
      <c r="H9" s="21">
        <v>0.2</v>
      </c>
      <c r="I9" s="22">
        <f t="shared" si="1"/>
        <v>0</v>
      </c>
      <c r="K9" s="2">
        <f t="shared" si="2"/>
        <v>0</v>
      </c>
      <c r="L9" s="23">
        <f t="shared" si="3"/>
        <v>0</v>
      </c>
    </row>
    <row r="10" spans="2:12" x14ac:dyDescent="0.25">
      <c r="B10" s="6"/>
      <c r="C10" s="1" t="s">
        <v>29</v>
      </c>
      <c r="D10" s="6"/>
      <c r="E10" s="2"/>
      <c r="F10" s="2"/>
      <c r="G10" s="2"/>
      <c r="H10" s="6"/>
      <c r="I10" s="22"/>
      <c r="K10" s="22"/>
      <c r="L10" s="22">
        <f>SUM(L5:L9)</f>
        <v>0</v>
      </c>
    </row>
    <row r="11" spans="2:12" x14ac:dyDescent="0.25">
      <c r="B11" s="6"/>
      <c r="C11" s="1" t="s">
        <v>5</v>
      </c>
      <c r="D11" s="6"/>
      <c r="E11" s="2"/>
      <c r="F11" s="2"/>
      <c r="G11" s="2"/>
      <c r="H11" s="6"/>
      <c r="I11" s="22">
        <f>SUM(I5:I9)</f>
        <v>0</v>
      </c>
      <c r="K11" s="22">
        <f>SUM(K5:K9)</f>
        <v>0</v>
      </c>
      <c r="L11" s="22">
        <f>L10*6</f>
        <v>0</v>
      </c>
    </row>
    <row r="14" spans="2:12" x14ac:dyDescent="0.25">
      <c r="B14" s="24" t="s">
        <v>15</v>
      </c>
      <c r="C14" s="14"/>
      <c r="D14" s="25"/>
      <c r="E14" s="26"/>
      <c r="F14" s="26"/>
      <c r="G14" s="26"/>
    </row>
    <row r="15" spans="2:12" x14ac:dyDescent="0.25">
      <c r="B15" s="27" t="s">
        <v>16</v>
      </c>
      <c r="C15" s="14"/>
      <c r="D15" s="25"/>
      <c r="E15" s="26"/>
      <c r="F15" s="26"/>
      <c r="G15" s="26"/>
    </row>
    <row r="16" spans="2:12" x14ac:dyDescent="0.25">
      <c r="B16" s="14" t="s">
        <v>71</v>
      </c>
      <c r="D16" s="25"/>
      <c r="E16" s="26"/>
      <c r="F16" s="26"/>
      <c r="G16" s="26"/>
    </row>
    <row r="17" spans="2:12" x14ac:dyDescent="0.25">
      <c r="B17" s="27" t="s">
        <v>17</v>
      </c>
      <c r="C17" s="14"/>
      <c r="L17" s="28" t="s">
        <v>40</v>
      </c>
    </row>
    <row r="18" spans="2:12" x14ac:dyDescent="0.25">
      <c r="B18" s="27" t="s">
        <v>18</v>
      </c>
      <c r="C18" s="14"/>
      <c r="L18" s="30" t="s">
        <v>73</v>
      </c>
    </row>
    <row r="19" spans="2:12" x14ac:dyDescent="0.25">
      <c r="B19" s="29"/>
    </row>
    <row r="20" spans="2:12" x14ac:dyDescent="0.25">
      <c r="B20" s="29"/>
      <c r="H20" s="12"/>
    </row>
    <row r="21" spans="2:12" x14ac:dyDescent="0.25">
      <c r="B21" s="29"/>
    </row>
    <row r="22" spans="2:12" x14ac:dyDescent="0.25">
      <c r="B22" s="29"/>
    </row>
    <row r="23" spans="2:12" x14ac:dyDescent="0.25">
      <c r="B23" s="29"/>
    </row>
    <row r="24" spans="2:12" x14ac:dyDescent="0.25">
      <c r="B24" s="29"/>
    </row>
  </sheetData>
  <sheetProtection password="DEA8" sheet="1" objects="1" scenarios="1"/>
  <hyperlinks>
    <hyperlink ref="L18" r:id="rId1"/>
    <hyperlink ref="L17" r:id="rId2"/>
  </hyperlinks>
  <pageMargins left="0.70866141732283472" right="0.70866141732283472" top="0.74803149606299213" bottom="0.74803149606299213" header="0.31496062992125984" footer="0.31496062992125984"/>
  <pageSetup paperSize="9" scale="93" orientation="landscape"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Sayfa1!$B$2:$B$3</xm:f>
          </x14:formula1>
          <xm:sqref>H5:H9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L54"/>
  <sheetViews>
    <sheetView workbookViewId="0">
      <selection activeCell="F9" sqref="F9"/>
    </sheetView>
  </sheetViews>
  <sheetFormatPr defaultRowHeight="15" x14ac:dyDescent="0.25"/>
  <cols>
    <col min="1" max="1" width="3.7109375" style="15" customWidth="1"/>
    <col min="2" max="2" width="12.42578125" style="7" bestFit="1" customWidth="1"/>
    <col min="3" max="3" width="21.140625" style="3" customWidth="1"/>
    <col min="4" max="4" width="21.140625" style="7" customWidth="1"/>
    <col min="5" max="5" width="21.140625" style="3" customWidth="1"/>
    <col min="6" max="6" width="15.5703125" style="3" customWidth="1"/>
    <col min="7" max="7" width="15.7109375" style="3" customWidth="1"/>
    <col min="8" max="8" width="15.7109375" style="7" customWidth="1"/>
    <col min="9" max="9" width="15.7109375" style="3" customWidth="1"/>
    <col min="10" max="10" width="3.7109375" style="15" customWidth="1"/>
    <col min="11" max="11" width="18.42578125" style="15" customWidth="1"/>
    <col min="12" max="12" width="21.140625" style="3" customWidth="1"/>
    <col min="13" max="16384" width="9.140625" style="15"/>
  </cols>
  <sheetData>
    <row r="3" spans="2:12" ht="45" x14ac:dyDescent="0.25">
      <c r="B3" s="16" t="s">
        <v>13</v>
      </c>
      <c r="C3" s="4"/>
      <c r="D3" s="8"/>
      <c r="E3" s="4"/>
      <c r="F3" s="4"/>
      <c r="G3" s="4"/>
      <c r="H3" s="8"/>
      <c r="I3" s="32"/>
      <c r="K3" s="62" t="s">
        <v>76</v>
      </c>
      <c r="L3" s="33" t="s">
        <v>20</v>
      </c>
    </row>
    <row r="4" spans="2:12" x14ac:dyDescent="0.25">
      <c r="B4" s="5" t="s">
        <v>3</v>
      </c>
      <c r="C4" s="1" t="s">
        <v>0</v>
      </c>
      <c r="D4" s="5" t="s">
        <v>1</v>
      </c>
      <c r="E4" s="1" t="s">
        <v>7</v>
      </c>
      <c r="F4" s="65" t="s">
        <v>74</v>
      </c>
      <c r="G4" s="1" t="s">
        <v>6</v>
      </c>
      <c r="H4" s="5" t="s">
        <v>2</v>
      </c>
      <c r="I4" s="1" t="s">
        <v>4</v>
      </c>
      <c r="K4" s="63" t="s">
        <v>75</v>
      </c>
      <c r="L4" s="1" t="s">
        <v>19</v>
      </c>
    </row>
    <row r="5" spans="2:12" x14ac:dyDescent="0.25">
      <c r="B5" s="19">
        <v>2016</v>
      </c>
      <c r="C5" s="20"/>
      <c r="D5" s="13">
        <v>0.35</v>
      </c>
      <c r="E5" s="2">
        <f>ROUND((C5*D5),2)</f>
        <v>0</v>
      </c>
      <c r="F5" s="61">
        <v>12</v>
      </c>
      <c r="G5" s="2">
        <f>ROUND(47000/12*F5,2)</f>
        <v>47000</v>
      </c>
      <c r="H5" s="21">
        <v>0.2</v>
      </c>
      <c r="I5" s="22">
        <f>IF(C5="",0,ROUND(((IF(E5&gt;G5,E5,G5))*H5),2))</f>
        <v>0</v>
      </c>
      <c r="K5" s="2">
        <f>ROUND(I5*0.9,2)</f>
        <v>0</v>
      </c>
      <c r="L5" s="23">
        <f>ROUND((($I5*1.09)/6),2)</f>
        <v>0</v>
      </c>
    </row>
    <row r="6" spans="2:12" x14ac:dyDescent="0.25">
      <c r="B6" s="19">
        <v>2017</v>
      </c>
      <c r="C6" s="20"/>
      <c r="D6" s="13">
        <v>0.3</v>
      </c>
      <c r="E6" s="2">
        <f t="shared" ref="E6:E9" si="0">ROUND((C6*D6),2)</f>
        <v>0</v>
      </c>
      <c r="F6" s="61">
        <v>12</v>
      </c>
      <c r="G6" s="2">
        <f>ROUND(49800/12*F6,2)</f>
        <v>49800</v>
      </c>
      <c r="H6" s="21">
        <v>0.2</v>
      </c>
      <c r="I6" s="22">
        <f t="shared" ref="I6:I9" si="1">IF(C6="",0,ROUND(((IF(E6&gt;G6,E6,G6))*H6),2))</f>
        <v>0</v>
      </c>
      <c r="K6" s="2">
        <f t="shared" ref="K6:K9" si="2">ROUND(I6*0.9,2)</f>
        <v>0</v>
      </c>
      <c r="L6" s="23">
        <f t="shared" ref="L6:L9" si="3">ROUND((($I6*1.09)/6),2)</f>
        <v>0</v>
      </c>
    </row>
    <row r="7" spans="2:12" x14ac:dyDescent="0.25">
      <c r="B7" s="19">
        <v>2018</v>
      </c>
      <c r="C7" s="20"/>
      <c r="D7" s="13">
        <v>0.25</v>
      </c>
      <c r="E7" s="2">
        <f t="shared" si="0"/>
        <v>0</v>
      </c>
      <c r="F7" s="61">
        <v>12</v>
      </c>
      <c r="G7" s="2">
        <f>ROUND(52900/12*F7,2)</f>
        <v>52900</v>
      </c>
      <c r="H7" s="21">
        <v>0.2</v>
      </c>
      <c r="I7" s="22">
        <f t="shared" si="1"/>
        <v>0</v>
      </c>
      <c r="K7" s="2">
        <f t="shared" si="2"/>
        <v>0</v>
      </c>
      <c r="L7" s="23">
        <f t="shared" si="3"/>
        <v>0</v>
      </c>
    </row>
    <row r="8" spans="2:12" x14ac:dyDescent="0.25">
      <c r="B8" s="19">
        <v>2019</v>
      </c>
      <c r="C8" s="20"/>
      <c r="D8" s="13">
        <v>0.2</v>
      </c>
      <c r="E8" s="2">
        <f t="shared" si="0"/>
        <v>0</v>
      </c>
      <c r="F8" s="61">
        <v>12</v>
      </c>
      <c r="G8" s="2">
        <f>ROUND(56200/12*F8,2)</f>
        <v>56200</v>
      </c>
      <c r="H8" s="21">
        <v>0.2</v>
      </c>
      <c r="I8" s="22">
        <f t="shared" si="1"/>
        <v>0</v>
      </c>
      <c r="K8" s="2">
        <f t="shared" si="2"/>
        <v>0</v>
      </c>
      <c r="L8" s="23">
        <f t="shared" si="3"/>
        <v>0</v>
      </c>
    </row>
    <row r="9" spans="2:12" x14ac:dyDescent="0.25">
      <c r="B9" s="19">
        <v>2020</v>
      </c>
      <c r="C9" s="20"/>
      <c r="D9" s="13">
        <v>0.15</v>
      </c>
      <c r="E9" s="2">
        <f t="shared" si="0"/>
        <v>0</v>
      </c>
      <c r="F9" s="61">
        <v>12</v>
      </c>
      <c r="G9" s="2">
        <f>ROUND(63700/12*F9,2)</f>
        <v>63700</v>
      </c>
      <c r="H9" s="21">
        <v>0.2</v>
      </c>
      <c r="I9" s="22">
        <f t="shared" si="1"/>
        <v>0</v>
      </c>
      <c r="K9" s="2">
        <f t="shared" si="2"/>
        <v>0</v>
      </c>
      <c r="L9" s="23">
        <f t="shared" si="3"/>
        <v>0</v>
      </c>
    </row>
    <row r="10" spans="2:12" x14ac:dyDescent="0.25">
      <c r="B10" s="6"/>
      <c r="C10" s="1" t="s">
        <v>29</v>
      </c>
      <c r="D10" s="6"/>
      <c r="E10" s="2"/>
      <c r="F10" s="2"/>
      <c r="G10" s="2"/>
      <c r="H10" s="6"/>
      <c r="I10" s="22"/>
      <c r="K10" s="64"/>
      <c r="L10" s="22">
        <f>SUM(L5:L9)</f>
        <v>0</v>
      </c>
    </row>
    <row r="11" spans="2:12" x14ac:dyDescent="0.25">
      <c r="B11" s="6"/>
      <c r="C11" s="1" t="s">
        <v>5</v>
      </c>
      <c r="D11" s="6"/>
      <c r="E11" s="2"/>
      <c r="F11" s="2"/>
      <c r="G11" s="2"/>
      <c r="H11" s="6"/>
      <c r="I11" s="22">
        <f>SUM(I5:I9)</f>
        <v>0</v>
      </c>
      <c r="K11" s="22">
        <f>SUM(K5:K9)</f>
        <v>0</v>
      </c>
      <c r="L11" s="22">
        <f>L10*6</f>
        <v>0</v>
      </c>
    </row>
    <row r="14" spans="2:12" ht="45" x14ac:dyDescent="0.25">
      <c r="B14" s="16" t="s">
        <v>14</v>
      </c>
      <c r="C14" s="4"/>
      <c r="D14" s="8"/>
      <c r="E14" s="4"/>
      <c r="F14" s="4"/>
      <c r="G14" s="4"/>
      <c r="H14" s="8"/>
      <c r="I14" s="32"/>
      <c r="K14" s="62" t="s">
        <v>76</v>
      </c>
      <c r="L14" s="33" t="s">
        <v>20</v>
      </c>
    </row>
    <row r="15" spans="2:12" x14ac:dyDescent="0.25">
      <c r="B15" s="5" t="s">
        <v>3</v>
      </c>
      <c r="C15" s="1" t="s">
        <v>0</v>
      </c>
      <c r="D15" s="5" t="s">
        <v>1</v>
      </c>
      <c r="E15" s="1" t="s">
        <v>7</v>
      </c>
      <c r="F15" s="1" t="s">
        <v>74</v>
      </c>
      <c r="G15" s="1" t="s">
        <v>6</v>
      </c>
      <c r="H15" s="5" t="s">
        <v>2</v>
      </c>
      <c r="I15" s="1" t="s">
        <v>4</v>
      </c>
      <c r="K15" s="63" t="s">
        <v>75</v>
      </c>
      <c r="L15" s="1" t="s">
        <v>19</v>
      </c>
    </row>
    <row r="16" spans="2:12" x14ac:dyDescent="0.25">
      <c r="B16" s="19">
        <v>2016</v>
      </c>
      <c r="C16" s="20"/>
      <c r="D16" s="13">
        <v>0.35</v>
      </c>
      <c r="E16" s="2">
        <f>ROUND((C16*D16),2)</f>
        <v>0</v>
      </c>
      <c r="F16" s="61">
        <v>12</v>
      </c>
      <c r="G16" s="2">
        <f>ROUND(31900/12*F16,2)</f>
        <v>31900</v>
      </c>
      <c r="H16" s="21">
        <v>0.2</v>
      </c>
      <c r="I16" s="22">
        <f>IF(C16="",0,ROUND(((IF(E16&gt;G16,E16,G16))*H16),2))</f>
        <v>0</v>
      </c>
      <c r="K16" s="2">
        <f>ROUND(I16*0.9,2)</f>
        <v>0</v>
      </c>
      <c r="L16" s="23">
        <f>ROUND((($I16*1.09)/6),2)</f>
        <v>0</v>
      </c>
    </row>
    <row r="17" spans="2:12" x14ac:dyDescent="0.25">
      <c r="B17" s="19">
        <v>2017</v>
      </c>
      <c r="C17" s="20"/>
      <c r="D17" s="13">
        <v>0.3</v>
      </c>
      <c r="E17" s="2">
        <f t="shared" ref="E17:E20" si="4">ROUND((C17*D17),2)</f>
        <v>0</v>
      </c>
      <c r="F17" s="61">
        <v>12</v>
      </c>
      <c r="G17" s="2">
        <f>ROUND(33200/12*F17,2)</f>
        <v>33200</v>
      </c>
      <c r="H17" s="21">
        <v>0.2</v>
      </c>
      <c r="I17" s="22">
        <f>IF(C17="",0,ROUND(((IF(E17&gt;G17,E17,G17))*H17),2))</f>
        <v>0</v>
      </c>
      <c r="K17" s="2">
        <f t="shared" ref="K17:K20" si="5">ROUND(I17*0.9,2)</f>
        <v>0</v>
      </c>
      <c r="L17" s="23">
        <f t="shared" ref="L17:L20" si="6">ROUND((($I17*1.09)/6),2)</f>
        <v>0</v>
      </c>
    </row>
    <row r="18" spans="2:12" x14ac:dyDescent="0.25">
      <c r="B18" s="19">
        <v>2018</v>
      </c>
      <c r="C18" s="20"/>
      <c r="D18" s="13">
        <v>0.25</v>
      </c>
      <c r="E18" s="2">
        <f t="shared" si="4"/>
        <v>0</v>
      </c>
      <c r="F18" s="61">
        <v>12</v>
      </c>
      <c r="G18" s="2">
        <f>ROUND(35250/12*F18,2)</f>
        <v>35250</v>
      </c>
      <c r="H18" s="21">
        <v>0.2</v>
      </c>
      <c r="I18" s="22">
        <f t="shared" ref="I18:I20" si="7">IF(C18="",0,ROUND(((IF(E18&gt;G18,E18,G18))*H18),2))</f>
        <v>0</v>
      </c>
      <c r="K18" s="2">
        <f t="shared" si="5"/>
        <v>0</v>
      </c>
      <c r="L18" s="23">
        <f t="shared" si="6"/>
        <v>0</v>
      </c>
    </row>
    <row r="19" spans="2:12" x14ac:dyDescent="0.25">
      <c r="B19" s="19">
        <v>2019</v>
      </c>
      <c r="C19" s="20"/>
      <c r="D19" s="13">
        <v>0.2</v>
      </c>
      <c r="E19" s="2">
        <f t="shared" si="4"/>
        <v>0</v>
      </c>
      <c r="F19" s="61">
        <v>12</v>
      </c>
      <c r="G19" s="2">
        <f>ROUND(37500/12*F19,2)</f>
        <v>37500</v>
      </c>
      <c r="H19" s="21">
        <v>0.2</v>
      </c>
      <c r="I19" s="22">
        <f t="shared" si="7"/>
        <v>0</v>
      </c>
      <c r="K19" s="2">
        <f t="shared" si="5"/>
        <v>0</v>
      </c>
      <c r="L19" s="23">
        <f t="shared" si="6"/>
        <v>0</v>
      </c>
    </row>
    <row r="20" spans="2:12" x14ac:dyDescent="0.25">
      <c r="B20" s="19">
        <v>2020</v>
      </c>
      <c r="C20" s="20"/>
      <c r="D20" s="13">
        <v>0.15</v>
      </c>
      <c r="E20" s="2">
        <f t="shared" si="4"/>
        <v>0</v>
      </c>
      <c r="F20" s="61">
        <v>12</v>
      </c>
      <c r="G20" s="2">
        <f>ROUND(42500/12*F20,2)</f>
        <v>42500</v>
      </c>
      <c r="H20" s="21">
        <v>0.2</v>
      </c>
      <c r="I20" s="22">
        <f t="shared" si="7"/>
        <v>0</v>
      </c>
      <c r="K20" s="2">
        <f t="shared" si="5"/>
        <v>0</v>
      </c>
      <c r="L20" s="23">
        <f t="shared" si="6"/>
        <v>0</v>
      </c>
    </row>
    <row r="21" spans="2:12" x14ac:dyDescent="0.25">
      <c r="B21" s="6"/>
      <c r="C21" s="1" t="s">
        <v>29</v>
      </c>
      <c r="D21" s="6"/>
      <c r="E21" s="2"/>
      <c r="F21" s="2"/>
      <c r="G21" s="2"/>
      <c r="H21" s="6"/>
      <c r="I21" s="22"/>
      <c r="K21" s="64"/>
      <c r="L21" s="22">
        <f>SUM(L16:L20)</f>
        <v>0</v>
      </c>
    </row>
    <row r="22" spans="2:12" x14ac:dyDescent="0.25">
      <c r="B22" s="6"/>
      <c r="C22" s="1" t="s">
        <v>5</v>
      </c>
      <c r="D22" s="6"/>
      <c r="E22" s="2"/>
      <c r="F22" s="2"/>
      <c r="G22" s="2"/>
      <c r="H22" s="6"/>
      <c r="I22" s="22">
        <f>SUM(I16:I20)</f>
        <v>0</v>
      </c>
      <c r="K22" s="22">
        <f>SUM(K16:K20)</f>
        <v>0</v>
      </c>
      <c r="L22" s="22">
        <f>L21*6</f>
        <v>0</v>
      </c>
    </row>
    <row r="25" spans="2:12" ht="45" x14ac:dyDescent="0.25">
      <c r="B25" s="16" t="s">
        <v>10</v>
      </c>
      <c r="C25" s="4"/>
      <c r="D25" s="8"/>
      <c r="E25" s="4"/>
      <c r="F25" s="4"/>
      <c r="G25" s="4"/>
      <c r="H25" s="8"/>
      <c r="I25" s="32"/>
      <c r="K25" s="62" t="s">
        <v>76</v>
      </c>
      <c r="L25" s="33" t="s">
        <v>20</v>
      </c>
    </row>
    <row r="26" spans="2:12" x14ac:dyDescent="0.25">
      <c r="B26" s="5" t="s">
        <v>3</v>
      </c>
      <c r="C26" s="1" t="s">
        <v>0</v>
      </c>
      <c r="D26" s="5" t="s">
        <v>1</v>
      </c>
      <c r="E26" s="1" t="s">
        <v>7</v>
      </c>
      <c r="F26" s="1" t="s">
        <v>74</v>
      </c>
      <c r="G26" s="1" t="s">
        <v>6</v>
      </c>
      <c r="H26" s="5" t="s">
        <v>2</v>
      </c>
      <c r="I26" s="1" t="s">
        <v>4</v>
      </c>
      <c r="K26" s="63" t="s">
        <v>75</v>
      </c>
      <c r="L26" s="1" t="s">
        <v>19</v>
      </c>
    </row>
    <row r="27" spans="2:12" x14ac:dyDescent="0.25">
      <c r="B27" s="19">
        <v>2016</v>
      </c>
      <c r="C27" s="20"/>
      <c r="D27" s="13">
        <v>0.35</v>
      </c>
      <c r="E27" s="2">
        <f>ROUND((C27*D27),2)</f>
        <v>0</v>
      </c>
      <c r="F27" s="61">
        <v>12</v>
      </c>
      <c r="G27" s="2">
        <f>ROUND(47000/5/12*F27,2)</f>
        <v>9400</v>
      </c>
      <c r="H27" s="21">
        <v>0.2</v>
      </c>
      <c r="I27" s="22">
        <f>IF(C27="",0,ROUND(((IF(E27&gt;G27,E27,G27))*H27),2))</f>
        <v>0</v>
      </c>
      <c r="K27" s="2">
        <f>ROUND(I27*0.9,2)</f>
        <v>0</v>
      </c>
      <c r="L27" s="23">
        <f>ROUND((($I27*1.09)/6),2)</f>
        <v>0</v>
      </c>
    </row>
    <row r="28" spans="2:12" x14ac:dyDescent="0.25">
      <c r="B28" s="19">
        <v>2017</v>
      </c>
      <c r="C28" s="20"/>
      <c r="D28" s="13">
        <v>0.3</v>
      </c>
      <c r="E28" s="2">
        <f t="shared" ref="E28:E31" si="8">ROUND((C28*D28),2)</f>
        <v>0</v>
      </c>
      <c r="F28" s="61">
        <v>12</v>
      </c>
      <c r="G28" s="2">
        <f>ROUND(49800/5/12*F28,2)</f>
        <v>9960</v>
      </c>
      <c r="H28" s="21">
        <v>0.2</v>
      </c>
      <c r="I28" s="22">
        <f t="shared" ref="I28:I31" si="9">IF(C28="",0,ROUND(((IF(E28&gt;G28,E28,G28))*H28),2))</f>
        <v>0</v>
      </c>
      <c r="K28" s="2">
        <f t="shared" ref="K28:K31" si="10">ROUND(I28*0.9,2)</f>
        <v>0</v>
      </c>
      <c r="L28" s="23">
        <f t="shared" ref="L28:L31" si="11">ROUND((($I28*1.09)/6),2)</f>
        <v>0</v>
      </c>
    </row>
    <row r="29" spans="2:12" x14ac:dyDescent="0.25">
      <c r="B29" s="19">
        <v>2018</v>
      </c>
      <c r="C29" s="20"/>
      <c r="D29" s="13">
        <v>0.25</v>
      </c>
      <c r="E29" s="2">
        <f t="shared" si="8"/>
        <v>0</v>
      </c>
      <c r="F29" s="61">
        <v>12</v>
      </c>
      <c r="G29" s="2">
        <f>ROUND(52900/5/12*F29,2)</f>
        <v>10580</v>
      </c>
      <c r="H29" s="21">
        <v>0.2</v>
      </c>
      <c r="I29" s="22">
        <f t="shared" si="9"/>
        <v>0</v>
      </c>
      <c r="K29" s="2">
        <f t="shared" si="10"/>
        <v>0</v>
      </c>
      <c r="L29" s="23">
        <f t="shared" si="11"/>
        <v>0</v>
      </c>
    </row>
    <row r="30" spans="2:12" x14ac:dyDescent="0.25">
      <c r="B30" s="19">
        <v>2019</v>
      </c>
      <c r="C30" s="20"/>
      <c r="D30" s="13">
        <v>0.2</v>
      </c>
      <c r="E30" s="2">
        <f t="shared" si="8"/>
        <v>0</v>
      </c>
      <c r="F30" s="61">
        <v>12</v>
      </c>
      <c r="G30" s="2">
        <f>ROUND(56200/5/12*F30,2)</f>
        <v>11240</v>
      </c>
      <c r="H30" s="21">
        <v>0.2</v>
      </c>
      <c r="I30" s="22">
        <f t="shared" si="9"/>
        <v>0</v>
      </c>
      <c r="K30" s="2">
        <f t="shared" si="10"/>
        <v>0</v>
      </c>
      <c r="L30" s="23">
        <f t="shared" si="11"/>
        <v>0</v>
      </c>
    </row>
    <row r="31" spans="2:12" x14ac:dyDescent="0.25">
      <c r="B31" s="19">
        <v>2020</v>
      </c>
      <c r="C31" s="20"/>
      <c r="D31" s="13">
        <v>0.15</v>
      </c>
      <c r="E31" s="2">
        <f t="shared" si="8"/>
        <v>0</v>
      </c>
      <c r="F31" s="61">
        <v>12</v>
      </c>
      <c r="G31" s="2">
        <f>ROUND(63700/5/12*F31,2)</f>
        <v>12740</v>
      </c>
      <c r="H31" s="21">
        <v>0.2</v>
      </c>
      <c r="I31" s="22">
        <f t="shared" si="9"/>
        <v>0</v>
      </c>
      <c r="K31" s="2">
        <f t="shared" si="10"/>
        <v>0</v>
      </c>
      <c r="L31" s="23">
        <f t="shared" si="11"/>
        <v>0</v>
      </c>
    </row>
    <row r="32" spans="2:12" x14ac:dyDescent="0.25">
      <c r="B32" s="6"/>
      <c r="C32" s="1" t="s">
        <v>29</v>
      </c>
      <c r="D32" s="6"/>
      <c r="E32" s="2"/>
      <c r="F32" s="2"/>
      <c r="G32" s="2"/>
      <c r="H32" s="6"/>
      <c r="I32" s="22"/>
      <c r="K32" s="64"/>
      <c r="L32" s="22">
        <f>SUM(L27:L31)</f>
        <v>0</v>
      </c>
    </row>
    <row r="33" spans="2:12" x14ac:dyDescent="0.25">
      <c r="B33" s="6"/>
      <c r="C33" s="1" t="s">
        <v>5</v>
      </c>
      <c r="D33" s="6"/>
      <c r="E33" s="2"/>
      <c r="F33" s="2"/>
      <c r="G33" s="2"/>
      <c r="H33" s="6"/>
      <c r="I33" s="22">
        <f>SUM(I27:I31)</f>
        <v>0</v>
      </c>
      <c r="K33" s="22">
        <f>SUM(K27:K31)</f>
        <v>0</v>
      </c>
      <c r="L33" s="22">
        <f>L32*6</f>
        <v>0</v>
      </c>
    </row>
    <row r="34" spans="2:12" x14ac:dyDescent="0.25">
      <c r="B34" s="9"/>
      <c r="C34" s="34"/>
      <c r="D34" s="9"/>
      <c r="E34" s="11"/>
      <c r="F34" s="11"/>
      <c r="G34" s="11"/>
      <c r="H34" s="9"/>
      <c r="I34" s="35"/>
    </row>
    <row r="35" spans="2:12" x14ac:dyDescent="0.25">
      <c r="B35" s="9"/>
      <c r="C35" s="34"/>
      <c r="D35" s="9"/>
      <c r="E35" s="11"/>
      <c r="F35" s="11"/>
      <c r="G35" s="11"/>
      <c r="H35" s="9"/>
      <c r="I35" s="35"/>
    </row>
    <row r="36" spans="2:12" ht="45" x14ac:dyDescent="0.25">
      <c r="B36" s="16" t="s">
        <v>9</v>
      </c>
      <c r="C36" s="4"/>
      <c r="D36" s="8"/>
      <c r="E36" s="4"/>
      <c r="F36" s="4"/>
      <c r="G36" s="4"/>
      <c r="H36" s="8"/>
      <c r="I36" s="32"/>
      <c r="K36" s="62" t="s">
        <v>76</v>
      </c>
      <c r="L36" s="33" t="s">
        <v>20</v>
      </c>
    </row>
    <row r="37" spans="2:12" x14ac:dyDescent="0.25">
      <c r="B37" s="5" t="s">
        <v>3</v>
      </c>
      <c r="C37" s="1" t="s">
        <v>0</v>
      </c>
      <c r="D37" s="5" t="s">
        <v>1</v>
      </c>
      <c r="E37" s="1" t="s">
        <v>7</v>
      </c>
      <c r="F37" s="1" t="s">
        <v>74</v>
      </c>
      <c r="G37" s="1" t="s">
        <v>6</v>
      </c>
      <c r="H37" s="5" t="s">
        <v>2</v>
      </c>
      <c r="I37" s="1" t="s">
        <v>4</v>
      </c>
      <c r="K37" s="63" t="s">
        <v>75</v>
      </c>
      <c r="L37" s="1" t="s">
        <v>19</v>
      </c>
    </row>
    <row r="38" spans="2:12" x14ac:dyDescent="0.25">
      <c r="B38" s="19">
        <v>2016</v>
      </c>
      <c r="C38" s="20"/>
      <c r="D38" s="13">
        <v>0.35</v>
      </c>
      <c r="E38" s="2">
        <f>ROUND((C38*D38),2)</f>
        <v>0</v>
      </c>
      <c r="F38" s="61">
        <v>12</v>
      </c>
      <c r="G38" s="2">
        <f>ROUND(4700/12*F38,2)</f>
        <v>4700</v>
      </c>
      <c r="H38" s="21">
        <v>0.2</v>
      </c>
      <c r="I38" s="22">
        <f>IF(C38="",0,ROUND(((IF(E38&gt;G38,E38,G38))*H38),2))</f>
        <v>0</v>
      </c>
      <c r="K38" s="2">
        <f>ROUND(I38*0.9,2)</f>
        <v>0</v>
      </c>
      <c r="L38" s="23">
        <f>ROUND((($I38*1.09)/6),2)</f>
        <v>0</v>
      </c>
    </row>
    <row r="39" spans="2:12" x14ac:dyDescent="0.25">
      <c r="B39" s="19">
        <v>2017</v>
      </c>
      <c r="C39" s="20"/>
      <c r="D39" s="13">
        <v>0.3</v>
      </c>
      <c r="E39" s="2">
        <f t="shared" ref="E39:E42" si="12">ROUND((C39*D39),2)</f>
        <v>0</v>
      </c>
      <c r="F39" s="61">
        <v>12</v>
      </c>
      <c r="G39" s="2">
        <f>ROUND(4980/12*F39,2)</f>
        <v>4980</v>
      </c>
      <c r="H39" s="21">
        <v>0.2</v>
      </c>
      <c r="I39" s="22">
        <f t="shared" ref="I39:I42" si="13">IF(C39="",0,ROUND(((IF(E39&gt;G39,E39,G39))*H39),2))</f>
        <v>0</v>
      </c>
      <c r="K39" s="2">
        <f t="shared" ref="K39:K42" si="14">ROUND(I39*0.9,2)</f>
        <v>0</v>
      </c>
      <c r="L39" s="23">
        <f t="shared" ref="L39:L42" si="15">ROUND((($I39*1.09)/6),2)</f>
        <v>0</v>
      </c>
    </row>
    <row r="40" spans="2:12" x14ac:dyDescent="0.25">
      <c r="B40" s="19">
        <v>2018</v>
      </c>
      <c r="C40" s="20"/>
      <c r="D40" s="13">
        <v>0.25</v>
      </c>
      <c r="E40" s="2">
        <f t="shared" si="12"/>
        <v>0</v>
      </c>
      <c r="F40" s="61">
        <v>12</v>
      </c>
      <c r="G40" s="2">
        <f>ROUND(5290/12*F40,2)</f>
        <v>5290</v>
      </c>
      <c r="H40" s="21">
        <v>0.2</v>
      </c>
      <c r="I40" s="22">
        <f t="shared" si="13"/>
        <v>0</v>
      </c>
      <c r="K40" s="2">
        <f t="shared" si="14"/>
        <v>0</v>
      </c>
      <c r="L40" s="23">
        <f t="shared" si="15"/>
        <v>0</v>
      </c>
    </row>
    <row r="41" spans="2:12" x14ac:dyDescent="0.25">
      <c r="B41" s="19">
        <v>2019</v>
      </c>
      <c r="C41" s="20"/>
      <c r="D41" s="13">
        <v>0.2</v>
      </c>
      <c r="E41" s="2">
        <f t="shared" si="12"/>
        <v>0</v>
      </c>
      <c r="F41" s="61">
        <v>12</v>
      </c>
      <c r="G41" s="2">
        <f>ROUND(5620/12*F41,2)</f>
        <v>5620</v>
      </c>
      <c r="H41" s="21">
        <v>0.2</v>
      </c>
      <c r="I41" s="22">
        <f t="shared" si="13"/>
        <v>0</v>
      </c>
      <c r="K41" s="2">
        <f t="shared" si="14"/>
        <v>0</v>
      </c>
      <c r="L41" s="23">
        <f t="shared" si="15"/>
        <v>0</v>
      </c>
    </row>
    <row r="42" spans="2:12" x14ac:dyDescent="0.25">
      <c r="B42" s="19">
        <v>2020</v>
      </c>
      <c r="C42" s="20"/>
      <c r="D42" s="13">
        <v>0.15</v>
      </c>
      <c r="E42" s="2">
        <f t="shared" si="12"/>
        <v>0</v>
      </c>
      <c r="F42" s="61">
        <v>12</v>
      </c>
      <c r="G42" s="2">
        <f>ROUND(6370/12*F42,2)</f>
        <v>6370</v>
      </c>
      <c r="H42" s="21">
        <v>0.2</v>
      </c>
      <c r="I42" s="22">
        <f t="shared" si="13"/>
        <v>0</v>
      </c>
      <c r="K42" s="2">
        <f t="shared" si="14"/>
        <v>0</v>
      </c>
      <c r="L42" s="23">
        <f t="shared" si="15"/>
        <v>0</v>
      </c>
    </row>
    <row r="43" spans="2:12" x14ac:dyDescent="0.25">
      <c r="B43" s="6"/>
      <c r="C43" s="1" t="s">
        <v>29</v>
      </c>
      <c r="D43" s="6"/>
      <c r="E43" s="2"/>
      <c r="F43" s="2"/>
      <c r="G43" s="2"/>
      <c r="H43" s="6"/>
      <c r="I43" s="22"/>
      <c r="K43" s="64"/>
      <c r="L43" s="22">
        <f>SUM(L38:L42)</f>
        <v>0</v>
      </c>
    </row>
    <row r="44" spans="2:12" x14ac:dyDescent="0.25">
      <c r="B44" s="6"/>
      <c r="C44" s="1" t="s">
        <v>5</v>
      </c>
      <c r="D44" s="6"/>
      <c r="E44" s="2"/>
      <c r="F44" s="2"/>
      <c r="G44" s="2"/>
      <c r="H44" s="6"/>
      <c r="I44" s="22">
        <f>SUM(I38:I42)</f>
        <v>0</v>
      </c>
      <c r="K44" s="22">
        <f>SUM(K38:K42)</f>
        <v>0</v>
      </c>
      <c r="L44" s="22">
        <f>L43*6</f>
        <v>0</v>
      </c>
    </row>
    <row r="47" spans="2:12" x14ac:dyDescent="0.25">
      <c r="B47" s="9"/>
      <c r="C47" s="34"/>
      <c r="D47" s="9"/>
      <c r="E47" s="11"/>
      <c r="F47" s="11"/>
      <c r="G47" s="11"/>
      <c r="H47" s="9"/>
      <c r="I47" s="35"/>
      <c r="L47" s="35"/>
    </row>
    <row r="48" spans="2:12" x14ac:dyDescent="0.25">
      <c r="B48" s="24" t="s">
        <v>15</v>
      </c>
      <c r="C48" s="14"/>
    </row>
    <row r="49" spans="2:12" x14ac:dyDescent="0.25">
      <c r="B49" s="27" t="s">
        <v>16</v>
      </c>
      <c r="C49" s="14"/>
    </row>
    <row r="50" spans="2:12" x14ac:dyDescent="0.25">
      <c r="B50" s="14" t="s">
        <v>71</v>
      </c>
      <c r="C50" s="14"/>
    </row>
    <row r="51" spans="2:12" x14ac:dyDescent="0.25">
      <c r="B51" s="27" t="s">
        <v>17</v>
      </c>
      <c r="L51" s="28" t="s">
        <v>40</v>
      </c>
    </row>
    <row r="52" spans="2:12" x14ac:dyDescent="0.25">
      <c r="B52" s="27" t="s">
        <v>18</v>
      </c>
      <c r="L52" s="30" t="s">
        <v>73</v>
      </c>
    </row>
    <row r="54" spans="2:12" x14ac:dyDescent="0.25">
      <c r="G54" s="12"/>
      <c r="L54" s="12"/>
    </row>
  </sheetData>
  <sheetProtection password="DEA8" sheet="1" objects="1" scenarios="1"/>
  <hyperlinks>
    <hyperlink ref="L52" r:id="rId1"/>
    <hyperlink ref="L51" r:id="rId2"/>
  </hyperlinks>
  <pageMargins left="0.70866141732283472" right="0.70866141732283472" top="0.74803149606299213" bottom="0.74803149606299213" header="0.31496062992125984" footer="0.31496062992125984"/>
  <pageSetup paperSize="9" scale="55" orientation="landscape"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Sayfa1!$B$2:$B$3</xm:f>
          </x14:formula1>
          <xm:sqref>H5:H9 H16:H20 H27:H31 H38:H42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J24"/>
  <sheetViews>
    <sheetView workbookViewId="0">
      <selection activeCell="D9" sqref="D9"/>
    </sheetView>
  </sheetViews>
  <sheetFormatPr defaultRowHeight="15" x14ac:dyDescent="0.25"/>
  <cols>
    <col min="1" max="1" width="3.7109375" style="15" customWidth="1"/>
    <col min="2" max="2" width="12.42578125" style="7" bestFit="1" customWidth="1"/>
    <col min="3" max="5" width="22.7109375" style="3" customWidth="1"/>
    <col min="6" max="6" width="12.5703125" style="7" customWidth="1"/>
    <col min="7" max="7" width="22.7109375" style="3" customWidth="1"/>
    <col min="8" max="8" width="3.7109375" style="15" customWidth="1"/>
    <col min="9" max="10" width="21.28515625" style="3" customWidth="1"/>
    <col min="11" max="16384" width="9.140625" style="15"/>
  </cols>
  <sheetData>
    <row r="3" spans="2:10" s="17" customFormat="1" ht="45" x14ac:dyDescent="0.25">
      <c r="B3" s="36" t="s">
        <v>11</v>
      </c>
      <c r="C3" s="4"/>
      <c r="D3" s="4"/>
      <c r="E3" s="4"/>
      <c r="F3" s="8"/>
      <c r="G3" s="32"/>
      <c r="I3" s="62" t="s">
        <v>76</v>
      </c>
      <c r="J3" s="33" t="s">
        <v>20</v>
      </c>
    </row>
    <row r="4" spans="2:10" s="8" customFormat="1" x14ac:dyDescent="0.25">
      <c r="B4" s="5" t="s">
        <v>3</v>
      </c>
      <c r="C4" s="1" t="s">
        <v>12</v>
      </c>
      <c r="D4" s="1" t="s">
        <v>21</v>
      </c>
      <c r="E4" s="1" t="s">
        <v>22</v>
      </c>
      <c r="F4" s="5" t="s">
        <v>2</v>
      </c>
      <c r="G4" s="1" t="s">
        <v>4</v>
      </c>
      <c r="I4" s="1" t="s">
        <v>77</v>
      </c>
      <c r="J4" s="1" t="s">
        <v>19</v>
      </c>
    </row>
    <row r="5" spans="2:10" x14ac:dyDescent="0.25">
      <c r="B5" s="19">
        <v>2016</v>
      </c>
      <c r="C5" s="20"/>
      <c r="D5" s="20"/>
      <c r="E5" s="2">
        <f>C5-D5</f>
        <v>0</v>
      </c>
      <c r="F5" s="37">
        <v>0.03</v>
      </c>
      <c r="G5" s="22">
        <f>IF(C5="",0,ROUND((E5*F5),2))</f>
        <v>0</v>
      </c>
      <c r="I5" s="23">
        <f>ROUND($G5*0.9,2)</f>
        <v>0</v>
      </c>
      <c r="J5" s="23">
        <f>ROUND((($G5*1.09)/6),2)</f>
        <v>0</v>
      </c>
    </row>
    <row r="6" spans="2:10" x14ac:dyDescent="0.25">
      <c r="B6" s="19">
        <v>2017</v>
      </c>
      <c r="C6" s="20"/>
      <c r="D6" s="20"/>
      <c r="E6" s="2">
        <f>C6-D6</f>
        <v>0</v>
      </c>
      <c r="F6" s="37">
        <v>0.03</v>
      </c>
      <c r="G6" s="22">
        <f t="shared" ref="G6:G9" si="0">IF(C6="",0,ROUND((E6*F6),2))</f>
        <v>0</v>
      </c>
      <c r="I6" s="23">
        <f t="shared" ref="I6:I9" si="1">ROUND($G6*0.9,2)</f>
        <v>0</v>
      </c>
      <c r="J6" s="23">
        <f t="shared" ref="J6:J9" si="2">ROUND((($G6*1.09)/6),2)</f>
        <v>0</v>
      </c>
    </row>
    <row r="7" spans="2:10" x14ac:dyDescent="0.25">
      <c r="B7" s="19">
        <v>2018</v>
      </c>
      <c r="C7" s="20"/>
      <c r="D7" s="20"/>
      <c r="E7" s="2">
        <f>C7-D7</f>
        <v>0</v>
      </c>
      <c r="F7" s="37">
        <v>2.5000000000000001E-2</v>
      </c>
      <c r="G7" s="22">
        <f t="shared" si="0"/>
        <v>0</v>
      </c>
      <c r="I7" s="23">
        <f t="shared" si="1"/>
        <v>0</v>
      </c>
      <c r="J7" s="23">
        <f t="shared" si="2"/>
        <v>0</v>
      </c>
    </row>
    <row r="8" spans="2:10" x14ac:dyDescent="0.25">
      <c r="B8" s="19">
        <v>2019</v>
      </c>
      <c r="C8" s="20"/>
      <c r="D8" s="20"/>
      <c r="E8" s="2">
        <f>C8-D8</f>
        <v>0</v>
      </c>
      <c r="F8" s="37">
        <v>0.02</v>
      </c>
      <c r="G8" s="22">
        <f t="shared" si="0"/>
        <v>0</v>
      </c>
      <c r="I8" s="23">
        <f t="shared" si="1"/>
        <v>0</v>
      </c>
      <c r="J8" s="23">
        <f t="shared" si="2"/>
        <v>0</v>
      </c>
    </row>
    <row r="9" spans="2:10" x14ac:dyDescent="0.25">
      <c r="B9" s="19">
        <v>2020</v>
      </c>
      <c r="C9" s="20"/>
      <c r="D9" s="20"/>
      <c r="E9" s="2">
        <f>C9-D9</f>
        <v>0</v>
      </c>
      <c r="F9" s="37">
        <v>0.02</v>
      </c>
      <c r="G9" s="22">
        <f t="shared" si="0"/>
        <v>0</v>
      </c>
      <c r="I9" s="23">
        <f t="shared" si="1"/>
        <v>0</v>
      </c>
      <c r="J9" s="23">
        <f t="shared" si="2"/>
        <v>0</v>
      </c>
    </row>
    <row r="10" spans="2:10" x14ac:dyDescent="0.25">
      <c r="B10" s="6"/>
      <c r="C10" s="1" t="s">
        <v>29</v>
      </c>
      <c r="D10" s="38"/>
      <c r="E10" s="38"/>
      <c r="F10" s="39"/>
      <c r="G10" s="22"/>
      <c r="I10" s="22"/>
      <c r="J10" s="22">
        <f>SUM(J5:J9)</f>
        <v>0</v>
      </c>
    </row>
    <row r="11" spans="2:10" x14ac:dyDescent="0.25">
      <c r="B11" s="6"/>
      <c r="C11" s="1" t="s">
        <v>5</v>
      </c>
      <c r="D11" s="38"/>
      <c r="E11" s="38"/>
      <c r="F11" s="39"/>
      <c r="G11" s="22">
        <f>SUM(G5:G9)</f>
        <v>0</v>
      </c>
      <c r="I11" s="22">
        <f>SUM(I5:I9)</f>
        <v>0</v>
      </c>
      <c r="J11" s="22">
        <f>J10*6</f>
        <v>0</v>
      </c>
    </row>
    <row r="14" spans="2:10" x14ac:dyDescent="0.25">
      <c r="B14" s="24" t="s">
        <v>15</v>
      </c>
    </row>
    <row r="15" spans="2:10" x14ac:dyDescent="0.25">
      <c r="B15" s="27" t="s">
        <v>23</v>
      </c>
    </row>
    <row r="16" spans="2:10" x14ac:dyDescent="0.25">
      <c r="B16" s="14" t="s">
        <v>24</v>
      </c>
    </row>
    <row r="17" spans="2:10" x14ac:dyDescent="0.25">
      <c r="B17" s="14" t="s">
        <v>66</v>
      </c>
    </row>
    <row r="18" spans="2:10" x14ac:dyDescent="0.25">
      <c r="B18" s="14" t="s">
        <v>67</v>
      </c>
    </row>
    <row r="19" spans="2:10" x14ac:dyDescent="0.25">
      <c r="B19" s="27" t="s">
        <v>27</v>
      </c>
    </row>
    <row r="20" spans="2:10" x14ac:dyDescent="0.25">
      <c r="B20" s="14" t="s">
        <v>28</v>
      </c>
    </row>
    <row r="21" spans="2:10" x14ac:dyDescent="0.25">
      <c r="B21" s="27" t="s">
        <v>25</v>
      </c>
      <c r="I21" s="28" t="s">
        <v>40</v>
      </c>
      <c r="J21" s="28" t="s">
        <v>40</v>
      </c>
    </row>
    <row r="22" spans="2:10" x14ac:dyDescent="0.25">
      <c r="B22" s="14" t="s">
        <v>26</v>
      </c>
      <c r="I22" s="30" t="s">
        <v>73</v>
      </c>
      <c r="J22" s="30" t="s">
        <v>73</v>
      </c>
    </row>
    <row r="24" spans="2:10" x14ac:dyDescent="0.25">
      <c r="F24" s="12"/>
    </row>
  </sheetData>
  <sheetProtection password="DEA8" sheet="1" objects="1" scenarios="1"/>
  <hyperlinks>
    <hyperlink ref="J22" r:id="rId1"/>
    <hyperlink ref="J21" r:id="rId2"/>
    <hyperlink ref="I22" r:id="rId3"/>
    <hyperlink ref="I21" r:id="rId4"/>
  </hyperlinks>
  <pageMargins left="0.70866141732283472" right="0.70866141732283472" top="0.74803149606299213" bottom="0.74803149606299213" header="0.31496062992125984" footer="0.31496062992125984"/>
  <pageSetup paperSize="9" scale="90" orientation="landscape" r:id="rId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R38"/>
  <sheetViews>
    <sheetView workbookViewId="0">
      <selection activeCell="C20" sqref="C20"/>
    </sheetView>
  </sheetViews>
  <sheetFormatPr defaultRowHeight="15" x14ac:dyDescent="0.25"/>
  <cols>
    <col min="1" max="1" width="3.85546875" style="15" customWidth="1"/>
    <col min="2" max="2" width="42.42578125" style="15" customWidth="1"/>
    <col min="3" max="7" width="14.28515625" style="7" customWidth="1"/>
    <col min="8" max="14" width="8.7109375" style="7"/>
    <col min="15" max="18" width="13.42578125" style="7" customWidth="1"/>
    <col min="19" max="16384" width="9.140625" style="15"/>
  </cols>
  <sheetData>
    <row r="2" spans="2:18" x14ac:dyDescent="0.25">
      <c r="B2" s="36" t="s">
        <v>70</v>
      </c>
    </row>
    <row r="3" spans="2:18" s="42" customFormat="1" x14ac:dyDescent="0.25">
      <c r="B3" s="40" t="s">
        <v>53</v>
      </c>
      <c r="C3" s="40">
        <v>2016</v>
      </c>
      <c r="D3" s="40">
        <v>2017</v>
      </c>
      <c r="E3" s="40">
        <v>2018</v>
      </c>
      <c r="F3" s="40">
        <v>2019</v>
      </c>
      <c r="G3" s="40">
        <v>2020</v>
      </c>
      <c r="H3" s="41"/>
      <c r="I3" s="41"/>
      <c r="J3" s="41"/>
      <c r="K3" s="41"/>
      <c r="L3" s="41"/>
      <c r="M3" s="41"/>
      <c r="N3" s="41"/>
      <c r="R3" s="41"/>
    </row>
    <row r="4" spans="2:18" x14ac:dyDescent="0.25">
      <c r="B4" s="41" t="s">
        <v>41</v>
      </c>
      <c r="C4" s="43"/>
      <c r="D4" s="43"/>
      <c r="E4" s="43"/>
      <c r="F4" s="43"/>
      <c r="G4" s="43"/>
    </row>
    <row r="5" spans="2:18" x14ac:dyDescent="0.25">
      <c r="B5" s="41" t="s">
        <v>42</v>
      </c>
      <c r="C5" s="43"/>
      <c r="D5" s="43"/>
      <c r="E5" s="43"/>
      <c r="F5" s="43"/>
      <c r="G5" s="43"/>
    </row>
    <row r="6" spans="2:18" x14ac:dyDescent="0.25">
      <c r="B6" s="41" t="s">
        <v>43</v>
      </c>
      <c r="C6" s="43"/>
      <c r="D6" s="43"/>
      <c r="E6" s="43"/>
      <c r="F6" s="43"/>
      <c r="G6" s="43"/>
    </row>
    <row r="7" spans="2:18" x14ac:dyDescent="0.25">
      <c r="B7" s="41" t="s">
        <v>44</v>
      </c>
      <c r="C7" s="43"/>
      <c r="D7" s="43"/>
      <c r="E7" s="43"/>
      <c r="F7" s="43"/>
      <c r="G7" s="43"/>
    </row>
    <row r="8" spans="2:18" x14ac:dyDescent="0.25">
      <c r="B8" s="41" t="s">
        <v>45</v>
      </c>
      <c r="C8" s="43"/>
      <c r="D8" s="43"/>
      <c r="E8" s="43"/>
      <c r="F8" s="43"/>
      <c r="G8" s="43"/>
    </row>
    <row r="9" spans="2:18" x14ac:dyDescent="0.25">
      <c r="B9" s="41" t="s">
        <v>46</v>
      </c>
      <c r="C9" s="43"/>
      <c r="D9" s="43"/>
      <c r="E9" s="43"/>
      <c r="F9" s="43"/>
      <c r="G9" s="43"/>
    </row>
    <row r="10" spans="2:18" x14ac:dyDescent="0.25">
      <c r="B10" s="41" t="s">
        <v>47</v>
      </c>
      <c r="C10" s="43"/>
      <c r="D10" s="43"/>
      <c r="E10" s="43"/>
      <c r="F10" s="43"/>
      <c r="G10" s="43"/>
    </row>
    <row r="11" spans="2:18" x14ac:dyDescent="0.25">
      <c r="B11" s="41" t="s">
        <v>48</v>
      </c>
      <c r="C11" s="43"/>
      <c r="D11" s="43"/>
      <c r="E11" s="43"/>
      <c r="F11" s="43"/>
      <c r="G11" s="43"/>
    </row>
    <row r="12" spans="2:18" x14ac:dyDescent="0.25">
      <c r="B12" s="41" t="s">
        <v>49</v>
      </c>
      <c r="C12" s="43"/>
      <c r="D12" s="43"/>
      <c r="E12" s="43"/>
      <c r="F12" s="43"/>
      <c r="G12" s="43"/>
    </row>
    <row r="13" spans="2:18" x14ac:dyDescent="0.25">
      <c r="B13" s="41" t="s">
        <v>50</v>
      </c>
      <c r="C13" s="43"/>
      <c r="D13" s="43"/>
      <c r="E13" s="43"/>
      <c r="F13" s="43"/>
      <c r="G13" s="43"/>
    </row>
    <row r="14" spans="2:18" x14ac:dyDescent="0.25">
      <c r="B14" s="41" t="s">
        <v>51</v>
      </c>
      <c r="C14" s="43"/>
      <c r="D14" s="43"/>
      <c r="E14" s="43"/>
      <c r="F14" s="43"/>
      <c r="G14" s="43"/>
    </row>
    <row r="15" spans="2:18" x14ac:dyDescent="0.25">
      <c r="B15" s="41" t="s">
        <v>52</v>
      </c>
      <c r="C15" s="43"/>
      <c r="D15" s="43"/>
      <c r="E15" s="43"/>
      <c r="F15" s="43"/>
      <c r="G15" s="43"/>
    </row>
    <row r="16" spans="2:18" x14ac:dyDescent="0.25">
      <c r="B16" s="44" t="s">
        <v>55</v>
      </c>
      <c r="C16" s="45">
        <f>SUM(C4:C15)</f>
        <v>0</v>
      </c>
      <c r="D16" s="45">
        <f>SUM(D4:D15)</f>
        <v>0</v>
      </c>
      <c r="E16" s="45">
        <f>SUM(E4:E15)</f>
        <v>0</v>
      </c>
      <c r="F16" s="45">
        <f>SUM(F4:F15)</f>
        <v>0</v>
      </c>
      <c r="G16" s="45">
        <f>SUM(G4:G15)</f>
        <v>0</v>
      </c>
    </row>
    <row r="17" spans="2:7" x14ac:dyDescent="0.25">
      <c r="B17" s="41"/>
    </row>
    <row r="18" spans="2:7" x14ac:dyDescent="0.25">
      <c r="B18" s="46" t="s">
        <v>61</v>
      </c>
      <c r="C18" s="47">
        <f>12-COUNTIF(C4:C15,"")</f>
        <v>0</v>
      </c>
      <c r="D18" s="47">
        <f t="shared" ref="D18:E18" si="0">12-COUNTIF(D4:D15,"")</f>
        <v>0</v>
      </c>
      <c r="E18" s="47">
        <f t="shared" si="0"/>
        <v>0</v>
      </c>
      <c r="F18" s="47">
        <f>12-COUNTIF(F4:F15,"")</f>
        <v>0</v>
      </c>
      <c r="G18" s="47">
        <f>12-COUNTIF(G4:G15,"")</f>
        <v>0</v>
      </c>
    </row>
    <row r="19" spans="2:7" x14ac:dyDescent="0.25">
      <c r="B19" s="10" t="s">
        <v>60</v>
      </c>
      <c r="C19" s="48" t="str">
        <f>IF(C18&gt;=3,ROUND(C16/C18,4),IF(OR(C26="",C26=0),"matrah art.yap",ROUND(C26/12,4)))</f>
        <v>matrah art.yap</v>
      </c>
      <c r="D19" s="48" t="str">
        <f t="shared" ref="D19:G19" si="1">IF(D18&gt;=3,ROUND(D16/D18,4),IF(OR(D26="",D26=0),"matrah art.yap",ROUND(D26/12,4)))</f>
        <v>matrah art.yap</v>
      </c>
      <c r="E19" s="48" t="str">
        <f t="shared" si="1"/>
        <v>matrah art.yap</v>
      </c>
      <c r="F19" s="48" t="str">
        <f t="shared" si="1"/>
        <v>matrah art.yap</v>
      </c>
      <c r="G19" s="48" t="str">
        <f t="shared" si="1"/>
        <v>matrah art.yap</v>
      </c>
    </row>
    <row r="20" spans="2:7" x14ac:dyDescent="0.25">
      <c r="B20" s="10" t="s">
        <v>62</v>
      </c>
      <c r="C20" s="48" t="e">
        <f t="shared" ref="C20:E20" si="2">ROUND(C19*12,2)</f>
        <v>#VALUE!</v>
      </c>
      <c r="D20" s="48" t="e">
        <f t="shared" si="2"/>
        <v>#VALUE!</v>
      </c>
      <c r="E20" s="48" t="e">
        <f t="shared" si="2"/>
        <v>#VALUE!</v>
      </c>
      <c r="F20" s="48" t="e">
        <f>ROUND(F19*12,2)</f>
        <v>#VALUE!</v>
      </c>
      <c r="G20" s="48" t="e">
        <f>ROUND(G19*12,2)</f>
        <v>#VALUE!</v>
      </c>
    </row>
    <row r="21" spans="2:7" x14ac:dyDescent="0.25">
      <c r="B21" s="29" t="s">
        <v>63</v>
      </c>
      <c r="C21" s="43"/>
      <c r="D21" s="43"/>
      <c r="E21" s="43"/>
      <c r="F21" s="43"/>
      <c r="G21" s="43"/>
    </row>
    <row r="22" spans="2:7" x14ac:dyDescent="0.25">
      <c r="B22" s="29" t="s">
        <v>64</v>
      </c>
      <c r="C22" s="48" t="str">
        <f t="shared" ref="C22:D22" si="3">IF(C16=C21,IF(OR(C26="",C26=0),"matrah art.yap",C26),C20-C21)</f>
        <v>matrah art.yap</v>
      </c>
      <c r="D22" s="48" t="str">
        <f t="shared" si="3"/>
        <v>matrah art.yap</v>
      </c>
      <c r="E22" s="48" t="str">
        <f>IF(E16=E21,IF(OR(E26="",E26=0),"matrah art.yap",E26),E20-E21)</f>
        <v>matrah art.yap</v>
      </c>
      <c r="F22" s="48" t="str">
        <f t="shared" ref="F22:G22" si="4">IF(F16=F21,IF(OR(F26="",F26=0),"matrah art.yap",F26),F20-F21)</f>
        <v>matrah art.yap</v>
      </c>
      <c r="G22" s="48" t="str">
        <f t="shared" si="4"/>
        <v>matrah art.yap</v>
      </c>
    </row>
    <row r="23" spans="2:7" x14ac:dyDescent="0.25">
      <c r="B23" s="15" t="s">
        <v>57</v>
      </c>
      <c r="C23" s="49">
        <v>0.03</v>
      </c>
      <c r="D23" s="49">
        <v>0.03</v>
      </c>
      <c r="E23" s="49">
        <v>2.5000000000000001E-2</v>
      </c>
      <c r="F23" s="49">
        <v>0.02</v>
      </c>
      <c r="G23" s="49">
        <v>0.02</v>
      </c>
    </row>
    <row r="24" spans="2:7" x14ac:dyDescent="0.25">
      <c r="B24" s="50" t="s">
        <v>65</v>
      </c>
      <c r="C24" s="51" t="e">
        <f>ROUND(C22*C23,2)</f>
        <v>#VALUE!</v>
      </c>
      <c r="D24" s="51" t="e">
        <f t="shared" ref="D24:G24" si="5">ROUND(D22*D23,2)</f>
        <v>#VALUE!</v>
      </c>
      <c r="E24" s="51" t="e">
        <f t="shared" si="5"/>
        <v>#VALUE!</v>
      </c>
      <c r="F24" s="51" t="e">
        <f t="shared" si="5"/>
        <v>#VALUE!</v>
      </c>
      <c r="G24" s="51" t="e">
        <f t="shared" si="5"/>
        <v>#VALUE!</v>
      </c>
    </row>
    <row r="25" spans="2:7" x14ac:dyDescent="0.25">
      <c r="C25" s="48"/>
      <c r="D25" s="48"/>
      <c r="E25" s="48"/>
      <c r="F25" s="48"/>
      <c r="G25" s="48"/>
    </row>
    <row r="26" spans="2:7" x14ac:dyDescent="0.25">
      <c r="B26" s="52" t="s">
        <v>56</v>
      </c>
      <c r="C26" s="53"/>
      <c r="D26" s="53"/>
      <c r="E26" s="53"/>
      <c r="F26" s="53"/>
      <c r="G26" s="53"/>
    </row>
    <row r="27" spans="2:7" x14ac:dyDescent="0.25">
      <c r="B27" s="54" t="s">
        <v>57</v>
      </c>
      <c r="C27" s="55">
        <v>0.18</v>
      </c>
      <c r="D27" s="55">
        <v>0.18</v>
      </c>
      <c r="E27" s="55">
        <v>0.18</v>
      </c>
      <c r="F27" s="55">
        <v>0.18</v>
      </c>
      <c r="G27" s="55">
        <v>0.18</v>
      </c>
    </row>
    <row r="28" spans="2:7" x14ac:dyDescent="0.25">
      <c r="B28" s="50" t="s">
        <v>58</v>
      </c>
      <c r="C28" s="51">
        <f t="shared" ref="C28:E28" si="6">ROUND(C26*C27,2)</f>
        <v>0</v>
      </c>
      <c r="D28" s="51">
        <f t="shared" si="6"/>
        <v>0</v>
      </c>
      <c r="E28" s="51">
        <f t="shared" si="6"/>
        <v>0</v>
      </c>
      <c r="F28" s="51">
        <f>ROUND(F26*F27,2)</f>
        <v>0</v>
      </c>
      <c r="G28" s="51">
        <f>ROUND(G26*G27,2)</f>
        <v>0</v>
      </c>
    </row>
    <row r="29" spans="2:7" x14ac:dyDescent="0.25">
      <c r="C29" s="48"/>
      <c r="D29" s="48"/>
      <c r="E29" s="48"/>
      <c r="F29" s="48"/>
      <c r="G29" s="48"/>
    </row>
    <row r="30" spans="2:7" x14ac:dyDescent="0.25">
      <c r="B30" s="56" t="s">
        <v>59</v>
      </c>
      <c r="C30" s="57">
        <f>IF((COUNTIF(C4:C15,""))=12,C28,MAX(C24,C28))</f>
        <v>0</v>
      </c>
      <c r="D30" s="57">
        <f t="shared" ref="D30:G30" si="7">IF((COUNTIF(D4:D15,""))=12,D28,MAX(D24,D28))</f>
        <v>0</v>
      </c>
      <c r="E30" s="57">
        <f t="shared" si="7"/>
        <v>0</v>
      </c>
      <c r="F30" s="57">
        <f t="shared" si="7"/>
        <v>0</v>
      </c>
      <c r="G30" s="57">
        <f t="shared" si="7"/>
        <v>0</v>
      </c>
    </row>
    <row r="31" spans="2:7" x14ac:dyDescent="0.25">
      <c r="C31" s="48"/>
      <c r="D31" s="48"/>
      <c r="E31" s="48"/>
      <c r="F31" s="48"/>
      <c r="G31" s="48"/>
    </row>
    <row r="32" spans="2:7" x14ac:dyDescent="0.25">
      <c r="B32" s="15" t="s">
        <v>54</v>
      </c>
      <c r="C32" s="48"/>
      <c r="D32" s="48"/>
      <c r="E32" s="48"/>
      <c r="F32" s="48"/>
      <c r="G32" s="48">
        <f>MAX(C22,C26)+MAX(D22,D26)+MAX(E22,E26)+MAX(F22,F26)+MAX(G22,G26)</f>
        <v>0</v>
      </c>
    </row>
    <row r="33" spans="2:7" x14ac:dyDescent="0.25">
      <c r="B33" s="15" t="s">
        <v>55</v>
      </c>
      <c r="C33" s="48"/>
      <c r="D33" s="48"/>
      <c r="E33" s="48"/>
      <c r="F33" s="48"/>
      <c r="G33" s="48">
        <f>SUM(C30:G30)</f>
        <v>0</v>
      </c>
    </row>
    <row r="36" spans="2:7" x14ac:dyDescent="0.25">
      <c r="B36" s="58" t="s">
        <v>15</v>
      </c>
      <c r="C36" s="3"/>
      <c r="D36" s="3"/>
    </row>
    <row r="37" spans="2:7" x14ac:dyDescent="0.25">
      <c r="B37" s="27" t="s">
        <v>68</v>
      </c>
      <c r="C37" s="3"/>
      <c r="D37" s="3"/>
      <c r="F37" s="28" t="s">
        <v>40</v>
      </c>
    </row>
    <row r="38" spans="2:7" x14ac:dyDescent="0.25">
      <c r="B38" s="14" t="s">
        <v>69</v>
      </c>
      <c r="C38" s="3"/>
      <c r="D38" s="3"/>
      <c r="F38" s="28" t="s">
        <v>73</v>
      </c>
    </row>
  </sheetData>
  <sheetProtection password="DEA8" sheet="1" objects="1" scenarios="1"/>
  <hyperlinks>
    <hyperlink ref="F38" r:id="rId1"/>
    <hyperlink ref="F37" r:id="rId2"/>
  </hyperlinks>
  <printOptions verticalCentered="1"/>
  <pageMargins left="0.70866141732283472" right="0.70866141732283472" top="0.74803149606299213" bottom="0.74803149606299213" header="0.31496062992125984" footer="0.31496062992125984"/>
  <pageSetup paperSize="9" scale="88" orientation="landscape" r:id="rId3"/>
  <ignoredErrors>
    <ignoredError sqref="C16:G16 D18:G18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H25"/>
  <sheetViews>
    <sheetView workbookViewId="0">
      <selection activeCell="E9" sqref="E9"/>
    </sheetView>
  </sheetViews>
  <sheetFormatPr defaultRowHeight="15" x14ac:dyDescent="0.25"/>
  <cols>
    <col min="1" max="1" width="3.7109375" style="15" customWidth="1"/>
    <col min="2" max="2" width="12.42578125" style="7" bestFit="1" customWidth="1"/>
    <col min="3" max="3" width="45.28515625" style="3" customWidth="1"/>
    <col min="4" max="4" width="12.5703125" style="7" customWidth="1"/>
    <col min="5" max="5" width="36.28515625" style="3" customWidth="1"/>
    <col min="6" max="6" width="3.7109375" style="15" customWidth="1"/>
    <col min="7" max="7" width="22.5703125" style="15" customWidth="1"/>
    <col min="8" max="8" width="21.140625" style="3" customWidth="1"/>
    <col min="9" max="16384" width="9.140625" style="15"/>
  </cols>
  <sheetData>
    <row r="3" spans="2:8" s="17" customFormat="1" ht="45" x14ac:dyDescent="0.25">
      <c r="B3" s="36" t="s">
        <v>30</v>
      </c>
      <c r="C3" s="4"/>
      <c r="D3" s="8"/>
      <c r="E3" s="32"/>
      <c r="G3" s="62" t="s">
        <v>76</v>
      </c>
      <c r="H3" s="33" t="s">
        <v>20</v>
      </c>
    </row>
    <row r="4" spans="2:8" s="8" customFormat="1" x14ac:dyDescent="0.25">
      <c r="B4" s="5" t="s">
        <v>3</v>
      </c>
      <c r="C4" s="1" t="s">
        <v>31</v>
      </c>
      <c r="D4" s="5" t="s">
        <v>2</v>
      </c>
      <c r="E4" s="1" t="s">
        <v>4</v>
      </c>
      <c r="G4" s="1" t="s">
        <v>77</v>
      </c>
      <c r="H4" s="1" t="s">
        <v>19</v>
      </c>
    </row>
    <row r="5" spans="2:8" x14ac:dyDescent="0.25">
      <c r="B5" s="19">
        <v>2016</v>
      </c>
      <c r="C5" s="20"/>
      <c r="D5" s="37">
        <v>0.06</v>
      </c>
      <c r="E5" s="22">
        <f>IF(C5="",0,ROUND((C5*D5),2))</f>
        <v>0</v>
      </c>
      <c r="G5" s="2">
        <f>ROUND(E5*0.9,2)</f>
        <v>0</v>
      </c>
      <c r="H5" s="23">
        <f>ROUND((($E5*1.09)/6),2)</f>
        <v>0</v>
      </c>
    </row>
    <row r="6" spans="2:8" x14ac:dyDescent="0.25">
      <c r="B6" s="19">
        <v>2017</v>
      </c>
      <c r="C6" s="20"/>
      <c r="D6" s="37">
        <v>0.05</v>
      </c>
      <c r="E6" s="22">
        <f t="shared" ref="E6:E9" si="0">IF(C6="",0,ROUND((C6*D6),2))</f>
        <v>0</v>
      </c>
      <c r="G6" s="2">
        <f t="shared" ref="G6:G9" si="1">ROUND(E6*0.9,2)</f>
        <v>0</v>
      </c>
      <c r="H6" s="23">
        <f t="shared" ref="H6:H9" si="2">ROUND((($E6*1.09)/6),2)</f>
        <v>0</v>
      </c>
    </row>
    <row r="7" spans="2:8" x14ac:dyDescent="0.25">
      <c r="B7" s="19">
        <v>2018</v>
      </c>
      <c r="C7" s="20"/>
      <c r="D7" s="37">
        <v>0.04</v>
      </c>
      <c r="E7" s="22">
        <f t="shared" si="0"/>
        <v>0</v>
      </c>
      <c r="G7" s="2">
        <f t="shared" si="1"/>
        <v>0</v>
      </c>
      <c r="H7" s="23">
        <f t="shared" si="2"/>
        <v>0</v>
      </c>
    </row>
    <row r="8" spans="2:8" x14ac:dyDescent="0.25">
      <c r="B8" s="19">
        <v>2019</v>
      </c>
      <c r="C8" s="20"/>
      <c r="D8" s="37">
        <v>0.03</v>
      </c>
      <c r="E8" s="22">
        <f t="shared" si="0"/>
        <v>0</v>
      </c>
      <c r="G8" s="2">
        <f t="shared" si="1"/>
        <v>0</v>
      </c>
      <c r="H8" s="23">
        <f t="shared" si="2"/>
        <v>0</v>
      </c>
    </row>
    <row r="9" spans="2:8" x14ac:dyDescent="0.25">
      <c r="B9" s="19">
        <v>2020</v>
      </c>
      <c r="C9" s="20"/>
      <c r="D9" s="37">
        <v>0.02</v>
      </c>
      <c r="E9" s="22">
        <f t="shared" si="0"/>
        <v>0</v>
      </c>
      <c r="G9" s="2">
        <f t="shared" si="1"/>
        <v>0</v>
      </c>
      <c r="H9" s="23">
        <f t="shared" si="2"/>
        <v>0</v>
      </c>
    </row>
    <row r="10" spans="2:8" x14ac:dyDescent="0.25">
      <c r="B10" s="6"/>
      <c r="C10" s="1" t="s">
        <v>29</v>
      </c>
      <c r="D10" s="39"/>
      <c r="E10" s="22"/>
      <c r="G10" s="64"/>
      <c r="H10" s="22">
        <f>SUM(H5:H9)</f>
        <v>0</v>
      </c>
    </row>
    <row r="11" spans="2:8" x14ac:dyDescent="0.25">
      <c r="B11" s="6"/>
      <c r="C11" s="1" t="s">
        <v>5</v>
      </c>
      <c r="D11" s="39"/>
      <c r="E11" s="22">
        <f>SUM(E5:E9)</f>
        <v>0</v>
      </c>
      <c r="G11" s="22">
        <f>SUM(G5:G9)</f>
        <v>0</v>
      </c>
      <c r="H11" s="22">
        <f>H10*6</f>
        <v>0</v>
      </c>
    </row>
    <row r="14" spans="2:8" x14ac:dyDescent="0.25">
      <c r="B14" s="24" t="s">
        <v>15</v>
      </c>
      <c r="C14" s="14"/>
    </row>
    <row r="15" spans="2:8" x14ac:dyDescent="0.25">
      <c r="B15" s="27" t="s">
        <v>32</v>
      </c>
      <c r="C15" s="14"/>
    </row>
    <row r="16" spans="2:8" x14ac:dyDescent="0.25">
      <c r="B16" s="14" t="s">
        <v>33</v>
      </c>
    </row>
    <row r="17" spans="2:8" x14ac:dyDescent="0.25">
      <c r="B17" s="27" t="s">
        <v>38</v>
      </c>
      <c r="C17" s="14"/>
    </row>
    <row r="18" spans="2:8" x14ac:dyDescent="0.25">
      <c r="B18" s="14" t="s">
        <v>35</v>
      </c>
      <c r="C18" s="14"/>
    </row>
    <row r="19" spans="2:8" x14ac:dyDescent="0.25">
      <c r="B19" s="27" t="s">
        <v>36</v>
      </c>
    </row>
    <row r="20" spans="2:8" x14ac:dyDescent="0.25">
      <c r="B20" s="27" t="s">
        <v>34</v>
      </c>
    </row>
    <row r="21" spans="2:8" x14ac:dyDescent="0.25">
      <c r="B21" s="14" t="s">
        <v>37</v>
      </c>
    </row>
    <row r="22" spans="2:8" x14ac:dyDescent="0.25">
      <c r="B22" s="59" t="s">
        <v>72</v>
      </c>
      <c r="H22" s="28" t="s">
        <v>40</v>
      </c>
    </row>
    <row r="23" spans="2:8" x14ac:dyDescent="0.25">
      <c r="B23" s="60" t="s">
        <v>39</v>
      </c>
      <c r="H23" s="30" t="s">
        <v>73</v>
      </c>
    </row>
    <row r="24" spans="2:8" x14ac:dyDescent="0.25">
      <c r="B24" s="29"/>
    </row>
    <row r="25" spans="2:8" x14ac:dyDescent="0.25">
      <c r="E25" s="12"/>
    </row>
  </sheetData>
  <sheetProtection password="DEA8" sheet="1" objects="1" scenarios="1"/>
  <hyperlinks>
    <hyperlink ref="H23" r:id="rId1"/>
    <hyperlink ref="H22" r:id="rId2"/>
  </hyperlinks>
  <pageMargins left="0.70866141732283472" right="0.70866141732283472" top="0.74803149606299213" bottom="0.74803149606299213" header="0.31496062992125984" footer="0.31496062992125984"/>
  <pageSetup paperSize="9" scale="90" orientation="landscape"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3"/>
  <sheetViews>
    <sheetView workbookViewId="0">
      <selection activeCell="B26" sqref="B26"/>
    </sheetView>
  </sheetViews>
  <sheetFormatPr defaultRowHeight="15" x14ac:dyDescent="0.25"/>
  <sheetData>
    <row r="2" spans="2:2" x14ac:dyDescent="0.25">
      <c r="B2" s="31">
        <v>0.15</v>
      </c>
    </row>
    <row r="3" spans="2:2" x14ac:dyDescent="0.25">
      <c r="B3" s="31">
        <v>0.2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6</vt:i4>
      </vt:variant>
    </vt:vector>
  </HeadingPairs>
  <TitlesOfParts>
    <vt:vector size="6" baseType="lpstr">
      <vt:lpstr>kurumlar vergisi</vt:lpstr>
      <vt:lpstr>gelir vergisi</vt:lpstr>
      <vt:lpstr>kdv</vt:lpstr>
      <vt:lpstr>kdv-detay</vt:lpstr>
      <vt:lpstr>muh</vt:lpstr>
      <vt:lpstr>Sayfa1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Fcc-Matrah Artırımı</dc:title>
  <dc:creator/>
  <dc:description>Fcc Denetim ve Yönetim Danışmanlığı</dc:description>
  <cp:lastModifiedBy/>
  <dcterms:created xsi:type="dcterms:W3CDTF">2006-09-26T09:04:32Z</dcterms:created>
  <dcterms:modified xsi:type="dcterms:W3CDTF">2021-07-27T09:15:28Z</dcterms:modified>
</cp:coreProperties>
</file>