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35" yWindow="-135" windowWidth="19395" windowHeight="12195" tabRatio="698"/>
  </bookViews>
  <sheets>
    <sheet name="yi-üfe-dikey" sheetId="8" r:id="rId1"/>
    <sheet name="Hesap Planı" sheetId="3" r:id="rId2"/>
    <sheet name="Mizan" sheetId="14" r:id="rId3"/>
    <sheet name="15-G" sheetId="24" r:id="rId4"/>
    <sheet name="15-BO" sheetId="6" r:id="rId5"/>
    <sheet name="15-HAO" sheetId="27" r:id="rId6"/>
    <sheet name="159-380-VB" sheetId="20" r:id="rId7"/>
    <sheet name="170-350" sheetId="22" r:id="rId8"/>
    <sheet name="240-249" sheetId="29" r:id="rId9"/>
    <sheet name="258" sheetId="28" r:id="rId10"/>
    <sheet name="250-270" sheetId="30" r:id="rId11"/>
    <sheet name="500" sheetId="10" r:id="rId12"/>
    <sheet name="520-599" sheetId="18" r:id="rId13"/>
    <sheet name="KONTROL" sheetId="33" r:id="rId14"/>
    <sheet name="648-658-697" sheetId="35" r:id="rId15"/>
    <sheet name="ROFM-KOLAY YÖNTEM" sheetId="34" r:id="rId16"/>
    <sheet name="ROFM-BT" sheetId="9" r:id="rId17"/>
    <sheet name="ROFM-TFM" sheetId="26" r:id="rId18"/>
  </sheets>
  <definedNames>
    <definedName name="_xlnm._FilterDatabase" localSheetId="6" hidden="1">'159-380-VB'!$A$1:$R$25</definedName>
    <definedName name="_xlnm._FilterDatabase" localSheetId="4" hidden="1">'15-BO'!$A$1:$Q$11</definedName>
    <definedName name="_xlnm._FilterDatabase" localSheetId="3" hidden="1">'15-G'!$A$1:$S$6</definedName>
    <definedName name="_xlnm._FilterDatabase" localSheetId="5" hidden="1">'15-HAO'!$A$1:$W$17</definedName>
    <definedName name="_xlnm._FilterDatabase" localSheetId="7" hidden="1">'170-350'!$A$1:$Q$16</definedName>
    <definedName name="_xlnm._FilterDatabase" localSheetId="8" hidden="1">'240-249'!$A$1:$R$10</definedName>
    <definedName name="_xlnm._FilterDatabase" localSheetId="10" hidden="1">'250-270'!$A$1:$W$23</definedName>
    <definedName name="_xlnm._FilterDatabase" localSheetId="9" hidden="1">'258'!$B$1:$S$15</definedName>
    <definedName name="_xlnm._FilterDatabase" localSheetId="11" hidden="1">'500'!$A$1:$S$16</definedName>
    <definedName name="_xlnm._FilterDatabase" localSheetId="12" hidden="1">'520-599'!$A$1:$Q$18</definedName>
    <definedName name="_xlnm._FilterDatabase" localSheetId="1" hidden="1">'Hesap Planı'!$B$3:$E$190</definedName>
    <definedName name="_xlnm._FilterDatabase" localSheetId="13" hidden="1">KONTROL!$B$1:$F$201</definedName>
    <definedName name="_xlnm._FilterDatabase" localSheetId="2" hidden="1">Mizan!$A$3:$G$133</definedName>
    <definedName name="_xlnm.Print_Area" localSheetId="11">'500'!$A$1:$P$43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/>
  <c r="F6"/>
  <c r="E6" i="26"/>
  <c r="F6"/>
  <c r="E12" i="8" l="1"/>
  <c r="C7" i="34" l="1"/>
  <c r="E7" s="1"/>
  <c r="E16" i="8"/>
  <c r="E15"/>
  <c r="E14"/>
  <c r="E13"/>
  <c r="C8" i="34"/>
  <c r="E8" s="1"/>
  <c r="G8" s="1"/>
  <c r="H8" s="1"/>
  <c r="I8" s="1"/>
  <c r="G7" l="1"/>
  <c r="H7" s="1"/>
  <c r="I7" s="1"/>
  <c r="G12" i="6"/>
  <c r="G21" i="28"/>
  <c r="L20"/>
  <c r="N20" s="1"/>
  <c r="I20"/>
  <c r="B20"/>
  <c r="L19"/>
  <c r="N19" s="1"/>
  <c r="I19"/>
  <c r="B19"/>
  <c r="L18"/>
  <c r="N18" s="1"/>
  <c r="I18"/>
  <c r="B18"/>
  <c r="L17"/>
  <c r="N17" s="1"/>
  <c r="I17"/>
  <c r="B17"/>
  <c r="L16"/>
  <c r="N16" s="1"/>
  <c r="I16"/>
  <c r="B16"/>
  <c r="L15"/>
  <c r="N15" s="1"/>
  <c r="I15"/>
  <c r="B15"/>
  <c r="L14"/>
  <c r="N14" s="1"/>
  <c r="I14"/>
  <c r="B14"/>
  <c r="G21" i="18"/>
  <c r="I21" s="1"/>
  <c r="K21" s="1"/>
  <c r="B21"/>
  <c r="I21" i="28" l="1"/>
  <c r="F5" i="8" l="1"/>
  <c r="F6"/>
  <c r="F4"/>
  <c r="K20" i="28" l="1"/>
  <c r="M20" s="1"/>
  <c r="O20" s="1"/>
  <c r="P20" s="1"/>
  <c r="Q20" s="1"/>
  <c r="K19"/>
  <c r="M19" s="1"/>
  <c r="O19" s="1"/>
  <c r="P19" s="1"/>
  <c r="Q19" s="1"/>
  <c r="L23" i="30"/>
  <c r="K9" i="28"/>
  <c r="L5" i="30"/>
  <c r="J8" i="10"/>
  <c r="K16" i="28"/>
  <c r="M16" s="1"/>
  <c r="O16" s="1"/>
  <c r="P16" s="1"/>
  <c r="Q16" s="1"/>
  <c r="K15"/>
  <c r="M15" s="1"/>
  <c r="O15" s="1"/>
  <c r="P15" s="1"/>
  <c r="Q15" s="1"/>
  <c r="K14"/>
  <c r="M14" s="1"/>
  <c r="O14" s="1"/>
  <c r="P14" s="1"/>
  <c r="K18"/>
  <c r="M18" s="1"/>
  <c r="O18" s="1"/>
  <c r="P18" s="1"/>
  <c r="Q18" s="1"/>
  <c r="K17"/>
  <c r="M17" s="1"/>
  <c r="O17" s="1"/>
  <c r="P17" s="1"/>
  <c r="Q17" s="1"/>
  <c r="J5" i="24"/>
  <c r="H21" i="18"/>
  <c r="J21" s="1"/>
  <c r="L21" s="1"/>
  <c r="M21" s="1"/>
  <c r="N21" s="1"/>
  <c r="L21" i="30"/>
  <c r="K7" i="28"/>
  <c r="L17" i="30"/>
  <c r="H5" i="22"/>
  <c r="K5" i="28"/>
  <c r="L13" i="30"/>
  <c r="I4" i="29"/>
  <c r="L9" i="30"/>
  <c r="I9" i="29"/>
  <c r="K8" i="28"/>
  <c r="K4"/>
  <c r="L20" i="30"/>
  <c r="L16"/>
  <c r="L12"/>
  <c r="L8"/>
  <c r="L4"/>
  <c r="J5" i="10"/>
  <c r="H7" i="18"/>
  <c r="H19"/>
  <c r="J19" s="1"/>
  <c r="J11" i="10"/>
  <c r="H10" i="18"/>
  <c r="H4"/>
  <c r="L19" i="30"/>
  <c r="L15"/>
  <c r="L11"/>
  <c r="L7"/>
  <c r="K10" i="28"/>
  <c r="K6"/>
  <c r="L22" i="30"/>
  <c r="L18"/>
  <c r="L14"/>
  <c r="L10"/>
  <c r="L6"/>
  <c r="J7" i="10"/>
  <c r="J12"/>
  <c r="H13" i="18"/>
  <c r="J6" i="10"/>
  <c r="J4"/>
  <c r="H16" i="18"/>
  <c r="H6" i="22"/>
  <c r="H10"/>
  <c r="I19" i="20"/>
  <c r="H11" i="22"/>
  <c r="I4" i="20"/>
  <c r="I10"/>
  <c r="I16"/>
  <c r="J4" i="24"/>
  <c r="I9" i="20"/>
  <c r="I13"/>
  <c r="I23"/>
  <c r="I5"/>
  <c r="I11"/>
  <c r="I6"/>
  <c r="I12"/>
  <c r="I20"/>
  <c r="J6" i="24"/>
  <c r="G19" i="18"/>
  <c r="I19" s="1"/>
  <c r="K19" s="1"/>
  <c r="B19"/>
  <c r="I6" i="26"/>
  <c r="C9" i="34"/>
  <c r="E9" s="1"/>
  <c r="G9" s="1"/>
  <c r="H9" s="1"/>
  <c r="I9" s="1"/>
  <c r="G16" i="18"/>
  <c r="G13"/>
  <c r="G10"/>
  <c r="G7"/>
  <c r="G4"/>
  <c r="H12" i="10"/>
  <c r="H11"/>
  <c r="H8"/>
  <c r="H7"/>
  <c r="H6"/>
  <c r="H5"/>
  <c r="H4"/>
  <c r="F23" i="30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H9" i="29"/>
  <c r="H4"/>
  <c r="G11" i="22"/>
  <c r="G10"/>
  <c r="G6"/>
  <c r="G5"/>
  <c r="H23" i="20"/>
  <c r="H20"/>
  <c r="H19"/>
  <c r="H16"/>
  <c r="H13"/>
  <c r="H12"/>
  <c r="H11"/>
  <c r="H10"/>
  <c r="H9"/>
  <c r="H6"/>
  <c r="H5"/>
  <c r="H4"/>
  <c r="O5" i="27"/>
  <c r="N5"/>
  <c r="M5"/>
  <c r="F22" i="6"/>
  <c r="F21"/>
  <c r="F20"/>
  <c r="F17"/>
  <c r="F16"/>
  <c r="F15"/>
  <c r="F12"/>
  <c r="F11"/>
  <c r="F10"/>
  <c r="F7"/>
  <c r="F6"/>
  <c r="F5"/>
  <c r="G22"/>
  <c r="G21"/>
  <c r="G20"/>
  <c r="G17"/>
  <c r="G16"/>
  <c r="G15"/>
  <c r="G11"/>
  <c r="G10"/>
  <c r="G7"/>
  <c r="G6"/>
  <c r="G5"/>
  <c r="I6" i="24"/>
  <c r="I5"/>
  <c r="I4"/>
  <c r="Q14" i="28" l="1"/>
  <c r="P21"/>
  <c r="L19" i="18"/>
  <c r="M19" s="1"/>
  <c r="N19" s="1"/>
  <c r="K13" i="20"/>
  <c r="H5" i="6"/>
  <c r="E23"/>
  <c r="E18"/>
  <c r="E13"/>
  <c r="E8"/>
  <c r="I22"/>
  <c r="K22" s="1"/>
  <c r="H22"/>
  <c r="J22" s="1"/>
  <c r="I21"/>
  <c r="K21" s="1"/>
  <c r="H21"/>
  <c r="J21" s="1"/>
  <c r="I20"/>
  <c r="K20" s="1"/>
  <c r="H20"/>
  <c r="J20" s="1"/>
  <c r="I17"/>
  <c r="K17" s="1"/>
  <c r="H17"/>
  <c r="J17" s="1"/>
  <c r="I16"/>
  <c r="K16" s="1"/>
  <c r="H16"/>
  <c r="J16" s="1"/>
  <c r="I15"/>
  <c r="K15" s="1"/>
  <c r="H15"/>
  <c r="J15" s="1"/>
  <c r="I12"/>
  <c r="K12" s="1"/>
  <c r="H12"/>
  <c r="J12" s="1"/>
  <c r="I11"/>
  <c r="K11" s="1"/>
  <c r="H11"/>
  <c r="J11" s="1"/>
  <c r="I10"/>
  <c r="K10" s="1"/>
  <c r="H10"/>
  <c r="J10" s="1"/>
  <c r="I7"/>
  <c r="K7" s="1"/>
  <c r="H7"/>
  <c r="J7" s="1"/>
  <c r="I6"/>
  <c r="K6" s="1"/>
  <c r="H6"/>
  <c r="J6" s="1"/>
  <c r="B22"/>
  <c r="B21"/>
  <c r="B20"/>
  <c r="B17"/>
  <c r="B16"/>
  <c r="B15"/>
  <c r="B12"/>
  <c r="B11"/>
  <c r="B10"/>
  <c r="B7"/>
  <c r="B6"/>
  <c r="E7" i="24"/>
  <c r="K6"/>
  <c r="M6" s="1"/>
  <c r="L6"/>
  <c r="G6"/>
  <c r="B6"/>
  <c r="K5"/>
  <c r="M5" s="1"/>
  <c r="L5"/>
  <c r="G5"/>
  <c r="B5"/>
  <c r="F131" i="14"/>
  <c r="F130"/>
  <c r="A131"/>
  <c r="G131" s="1"/>
  <c r="A130"/>
  <c r="G130" s="1"/>
  <c r="E132"/>
  <c r="D132"/>
  <c r="B13" i="20"/>
  <c r="J13"/>
  <c r="L13" s="1"/>
  <c r="F14"/>
  <c r="E88" i="33" l="1"/>
  <c r="Q21" i="28"/>
  <c r="M13" i="20"/>
  <c r="N13" s="1"/>
  <c r="L10" i="6"/>
  <c r="M10" s="1"/>
  <c r="N10" s="1"/>
  <c r="L16"/>
  <c r="M16" s="1"/>
  <c r="N16" s="1"/>
  <c r="L22"/>
  <c r="M22" s="1"/>
  <c r="N22" s="1"/>
  <c r="L7"/>
  <c r="M7" s="1"/>
  <c r="N7" s="1"/>
  <c r="L20"/>
  <c r="M20" s="1"/>
  <c r="L11"/>
  <c r="M11" s="1"/>
  <c r="N11" s="1"/>
  <c r="L17"/>
  <c r="M17" s="1"/>
  <c r="N17" s="1"/>
  <c r="L15"/>
  <c r="M15" s="1"/>
  <c r="L21"/>
  <c r="M21" s="1"/>
  <c r="N21" s="1"/>
  <c r="L12"/>
  <c r="M12" s="1"/>
  <c r="N12" s="1"/>
  <c r="L6"/>
  <c r="M6" s="1"/>
  <c r="N6" s="1"/>
  <c r="N6" i="24"/>
  <c r="O6" s="1"/>
  <c r="P6" s="1"/>
  <c r="N5"/>
  <c r="O5" l="1"/>
  <c r="P5" s="1"/>
  <c r="N13" i="6"/>
  <c r="N15"/>
  <c r="N18" s="1"/>
  <c r="M18"/>
  <c r="M13"/>
  <c r="N20"/>
  <c r="N23" s="1"/>
  <c r="M23"/>
  <c r="O13" i="20"/>
  <c r="E12" i="22" l="1"/>
  <c r="E7"/>
  <c r="F24" i="20"/>
  <c r="F21"/>
  <c r="F17"/>
  <c r="F7"/>
  <c r="I13" i="10" l="1"/>
  <c r="F11"/>
  <c r="F12"/>
  <c r="B11"/>
  <c r="L11"/>
  <c r="K11"/>
  <c r="M11" s="1"/>
  <c r="B12"/>
  <c r="L12"/>
  <c r="K12"/>
  <c r="M12" s="1"/>
  <c r="N11" l="1"/>
  <c r="O11" s="1"/>
  <c r="N12"/>
  <c r="O12" s="1"/>
  <c r="P12" s="1"/>
  <c r="D29" i="35"/>
  <c r="L29"/>
  <c r="E29"/>
  <c r="P11" i="10" l="1"/>
  <c r="P13" s="1"/>
  <c r="O13"/>
  <c r="D31" i="35"/>
  <c r="E30"/>
  <c r="K29"/>
  <c r="K31" l="1"/>
  <c r="L30"/>
  <c r="E28" i="34" l="1"/>
  <c r="G28" s="1"/>
  <c r="H28" s="1"/>
  <c r="I28" s="1"/>
  <c r="E27"/>
  <c r="G27" s="1"/>
  <c r="H27" s="1"/>
  <c r="I27" s="1"/>
  <c r="E26"/>
  <c r="G26" s="1"/>
  <c r="H26" s="1"/>
  <c r="I26" s="1"/>
  <c r="E25"/>
  <c r="G25" s="1"/>
  <c r="H25" s="1"/>
  <c r="I25" s="1"/>
  <c r="E24"/>
  <c r="G24" s="1"/>
  <c r="H24" s="1"/>
  <c r="I24" s="1"/>
  <c r="E23"/>
  <c r="G23" s="1"/>
  <c r="H23" s="1"/>
  <c r="I23" s="1"/>
  <c r="E22"/>
  <c r="G22" s="1"/>
  <c r="H22" s="1"/>
  <c r="I22" s="1"/>
  <c r="E21"/>
  <c r="G21" s="1"/>
  <c r="H21" s="1"/>
  <c r="I21" s="1"/>
  <c r="E20"/>
  <c r="G20" s="1"/>
  <c r="H20" s="1"/>
  <c r="I20" s="1"/>
  <c r="E19"/>
  <c r="G19" s="1"/>
  <c r="H19" s="1"/>
  <c r="I19" s="1"/>
  <c r="E18"/>
  <c r="G18" s="1"/>
  <c r="H18" s="1"/>
  <c r="I18" s="1"/>
  <c r="E17"/>
  <c r="G17" s="1"/>
  <c r="H17" s="1"/>
  <c r="I17" s="1"/>
  <c r="E16"/>
  <c r="G16" s="1"/>
  <c r="H16" s="1"/>
  <c r="I16" s="1"/>
  <c r="E15"/>
  <c r="G15" s="1"/>
  <c r="H15" s="1"/>
  <c r="I15" s="1"/>
  <c r="E14"/>
  <c r="G14" s="1"/>
  <c r="H14" s="1"/>
  <c r="I14" s="1"/>
  <c r="E13"/>
  <c r="G13" s="1"/>
  <c r="H13" s="1"/>
  <c r="I13" s="1"/>
  <c r="E12"/>
  <c r="G12" s="1"/>
  <c r="H12" s="1"/>
  <c r="I12" s="1"/>
  <c r="E11"/>
  <c r="G11" s="1"/>
  <c r="H11" s="1"/>
  <c r="I11" s="1"/>
  <c r="E10"/>
  <c r="G10" s="1"/>
  <c r="H10" s="1"/>
  <c r="I10" s="1"/>
  <c r="J5" i="30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4"/>
  <c r="B6" i="10"/>
  <c r="F6"/>
  <c r="L6"/>
  <c r="K6"/>
  <c r="M6" s="1"/>
  <c r="B6" i="30"/>
  <c r="A6" s="1"/>
  <c r="M6"/>
  <c r="O6" s="1"/>
  <c r="I8" i="28"/>
  <c r="L8"/>
  <c r="N8" s="1"/>
  <c r="B16" i="20"/>
  <c r="K16"/>
  <c r="J16"/>
  <c r="L16" s="1"/>
  <c r="N6" i="30" l="1"/>
  <c r="P6" s="1"/>
  <c r="Q6" s="1"/>
  <c r="M8" i="28"/>
  <c r="O8" s="1"/>
  <c r="P8" s="1"/>
  <c r="N6" i="10"/>
  <c r="O6" s="1"/>
  <c r="P6" s="1"/>
  <c r="M16" i="20"/>
  <c r="N16" s="1"/>
  <c r="O16" l="1"/>
  <c r="O17" s="1"/>
  <c r="N17"/>
  <c r="S6" i="30"/>
  <c r="R6"/>
  <c r="Q8" i="28"/>
  <c r="T6" i="30" l="1"/>
  <c r="K9" i="29"/>
  <c r="M9" s="1"/>
  <c r="N9" s="1"/>
  <c r="F5" i="14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4"/>
  <c r="O9" i="29" l="1"/>
  <c r="J9"/>
  <c r="B10"/>
  <c r="B9"/>
  <c r="M23" i="30"/>
  <c r="O23" s="1"/>
  <c r="B23"/>
  <c r="A23" s="1"/>
  <c r="M22"/>
  <c r="O22" s="1"/>
  <c r="B22"/>
  <c r="A22" s="1"/>
  <c r="M21"/>
  <c r="O21" s="1"/>
  <c r="B21"/>
  <c r="A21" s="1"/>
  <c r="M20"/>
  <c r="O20" s="1"/>
  <c r="N20"/>
  <c r="B20"/>
  <c r="A20" s="1"/>
  <c r="M19"/>
  <c r="O19" s="1"/>
  <c r="B19"/>
  <c r="A19" s="1"/>
  <c r="M18"/>
  <c r="O18" s="1"/>
  <c r="B18"/>
  <c r="A18" s="1"/>
  <c r="M17"/>
  <c r="O17" s="1"/>
  <c r="B17"/>
  <c r="A17" s="1"/>
  <c r="M16"/>
  <c r="O16" s="1"/>
  <c r="B16"/>
  <c r="A16" s="1"/>
  <c r="M15"/>
  <c r="O15" s="1"/>
  <c r="B15"/>
  <c r="A15" s="1"/>
  <c r="M14"/>
  <c r="O14" s="1"/>
  <c r="B14"/>
  <c r="A14" s="1"/>
  <c r="M13"/>
  <c r="O13" s="1"/>
  <c r="B13"/>
  <c r="A13" s="1"/>
  <c r="M12"/>
  <c r="O12" s="1"/>
  <c r="B12"/>
  <c r="A12" s="1"/>
  <c r="M11"/>
  <c r="O11" s="1"/>
  <c r="B11"/>
  <c r="A11" s="1"/>
  <c r="M10"/>
  <c r="O10" s="1"/>
  <c r="B10"/>
  <c r="A10" s="1"/>
  <c r="M9"/>
  <c r="O9" s="1"/>
  <c r="B9"/>
  <c r="A9" s="1"/>
  <c r="M8"/>
  <c r="O8" s="1"/>
  <c r="B8"/>
  <c r="A8" s="1"/>
  <c r="M7"/>
  <c r="O7" s="1"/>
  <c r="B7"/>
  <c r="A7" s="1"/>
  <c r="M5"/>
  <c r="O5" s="1"/>
  <c r="B5"/>
  <c r="A5" s="1"/>
  <c r="J12" i="20"/>
  <c r="L12" s="1"/>
  <c r="K12"/>
  <c r="B12"/>
  <c r="J11"/>
  <c r="L11" s="1"/>
  <c r="K11"/>
  <c r="B11"/>
  <c r="J10"/>
  <c r="L10" s="1"/>
  <c r="K10"/>
  <c r="B10"/>
  <c r="J9"/>
  <c r="L9" s="1"/>
  <c r="K9"/>
  <c r="B9"/>
  <c r="J23"/>
  <c r="L23" s="1"/>
  <c r="K23"/>
  <c r="B23"/>
  <c r="J20"/>
  <c r="L20" s="1"/>
  <c r="K20"/>
  <c r="B20"/>
  <c r="J19"/>
  <c r="L19" s="1"/>
  <c r="K19"/>
  <c r="B19"/>
  <c r="J5"/>
  <c r="G4" i="24"/>
  <c r="G7" s="1"/>
  <c r="B5" i="6"/>
  <c r="B4" i="24"/>
  <c r="L4"/>
  <c r="K4"/>
  <c r="M4" s="1"/>
  <c r="I9" i="10"/>
  <c r="I4" i="18"/>
  <c r="K4" s="1"/>
  <c r="J4"/>
  <c r="B4"/>
  <c r="I16"/>
  <c r="K16" s="1"/>
  <c r="J16"/>
  <c r="B16"/>
  <c r="M4" i="30"/>
  <c r="O4" s="1"/>
  <c r="B4"/>
  <c r="B5" i="29"/>
  <c r="J4"/>
  <c r="L4" s="1"/>
  <c r="K4"/>
  <c r="B4"/>
  <c r="G11" i="28"/>
  <c r="L7"/>
  <c r="N7" s="1"/>
  <c r="L6"/>
  <c r="N6" s="1"/>
  <c r="L5"/>
  <c r="N5" s="1"/>
  <c r="L4"/>
  <c r="N4" s="1"/>
  <c r="I4"/>
  <c r="I5"/>
  <c r="I6"/>
  <c r="I7"/>
  <c r="M4"/>
  <c r="L10"/>
  <c r="N10" s="1"/>
  <c r="I10"/>
  <c r="L9"/>
  <c r="N9" s="1"/>
  <c r="I9"/>
  <c r="L5" i="27"/>
  <c r="H6" i="26"/>
  <c r="G6"/>
  <c r="I11" i="22"/>
  <c r="K11" s="1"/>
  <c r="J11"/>
  <c r="B11"/>
  <c r="I10"/>
  <c r="K10" s="1"/>
  <c r="J10"/>
  <c r="B10"/>
  <c r="I6"/>
  <c r="K6" s="1"/>
  <c r="J6"/>
  <c r="B6"/>
  <c r="I5"/>
  <c r="K5" s="1"/>
  <c r="J5"/>
  <c r="B5"/>
  <c r="E35" i="33" l="1"/>
  <c r="E38"/>
  <c r="E37"/>
  <c r="E36"/>
  <c r="M9" i="28"/>
  <c r="O9" s="1"/>
  <c r="M10"/>
  <c r="O10" s="1"/>
  <c r="M5"/>
  <c r="O5" s="1"/>
  <c r="P5" s="1"/>
  <c r="N8" i="30"/>
  <c r="P8" s="1"/>
  <c r="Q8" s="1"/>
  <c r="N12"/>
  <c r="P12" s="1"/>
  <c r="Q12" s="1"/>
  <c r="N16"/>
  <c r="P16" s="1"/>
  <c r="Q16" s="1"/>
  <c r="N21"/>
  <c r="P21" s="1"/>
  <c r="Q21" s="1"/>
  <c r="M6" i="28"/>
  <c r="O6" s="1"/>
  <c r="N4" i="30"/>
  <c r="P4" s="1"/>
  <c r="N7"/>
  <c r="P7" s="1"/>
  <c r="Q7" s="1"/>
  <c r="N11"/>
  <c r="P11" s="1"/>
  <c r="Q11" s="1"/>
  <c r="N15"/>
  <c r="P15" s="1"/>
  <c r="Q15" s="1"/>
  <c r="N19"/>
  <c r="P19" s="1"/>
  <c r="Q19" s="1"/>
  <c r="N5"/>
  <c r="P5" s="1"/>
  <c r="Q5" s="1"/>
  <c r="N10"/>
  <c r="P10" s="1"/>
  <c r="Q10" s="1"/>
  <c r="N14"/>
  <c r="P14" s="1"/>
  <c r="Q14" s="1"/>
  <c r="N18"/>
  <c r="P18" s="1"/>
  <c r="Q18" s="1"/>
  <c r="R18" s="1"/>
  <c r="N23"/>
  <c r="P23" s="1"/>
  <c r="Q23" s="1"/>
  <c r="N9"/>
  <c r="P9" s="1"/>
  <c r="Q9" s="1"/>
  <c r="N13"/>
  <c r="P13" s="1"/>
  <c r="Q13" s="1"/>
  <c r="N17"/>
  <c r="P17" s="1"/>
  <c r="Q17" s="1"/>
  <c r="N22"/>
  <c r="P22" s="1"/>
  <c r="Q22" s="1"/>
  <c r="E70" i="33"/>
  <c r="E76"/>
  <c r="E69"/>
  <c r="E72"/>
  <c r="E77"/>
  <c r="E75"/>
  <c r="E73"/>
  <c r="E78"/>
  <c r="E74"/>
  <c r="E91"/>
  <c r="E97"/>
  <c r="E102"/>
  <c r="E81"/>
  <c r="E92"/>
  <c r="E100"/>
  <c r="E94"/>
  <c r="E99"/>
  <c r="E98"/>
  <c r="A4" i="30"/>
  <c r="E101" i="33" s="1"/>
  <c r="E80"/>
  <c r="E86"/>
  <c r="E95"/>
  <c r="E93"/>
  <c r="E82"/>
  <c r="M12" i="20"/>
  <c r="N12" s="1"/>
  <c r="P20" i="30"/>
  <c r="Q20" s="1"/>
  <c r="M10" i="20"/>
  <c r="N10" s="1"/>
  <c r="O10" s="1"/>
  <c r="M11"/>
  <c r="N11" s="1"/>
  <c r="O11" s="1"/>
  <c r="M9"/>
  <c r="N9" s="1"/>
  <c r="M20"/>
  <c r="N20" s="1"/>
  <c r="O20" s="1"/>
  <c r="M19"/>
  <c r="N19" s="1"/>
  <c r="M23"/>
  <c r="N23" s="1"/>
  <c r="N4" i="24"/>
  <c r="L16" i="18"/>
  <c r="M16" s="1"/>
  <c r="L4"/>
  <c r="M4" s="1"/>
  <c r="N4" s="1"/>
  <c r="P5" i="27"/>
  <c r="M4" i="29"/>
  <c r="N4" s="1"/>
  <c r="O4" s="1"/>
  <c r="E71" i="33" s="1"/>
  <c r="I11" i="28"/>
  <c r="M7"/>
  <c r="O7" s="1"/>
  <c r="O4"/>
  <c r="Q5" i="27"/>
  <c r="J6" i="26"/>
  <c r="L11" i="22"/>
  <c r="M11" s="1"/>
  <c r="N11" s="1"/>
  <c r="L5"/>
  <c r="M5" s="1"/>
  <c r="L10"/>
  <c r="M10" s="1"/>
  <c r="L6"/>
  <c r="M6" s="1"/>
  <c r="N6" s="1"/>
  <c r="A128" i="14"/>
  <c r="G128" s="1"/>
  <c r="R5" i="27" l="1"/>
  <c r="S5" s="1"/>
  <c r="T5" s="1"/>
  <c r="N10" i="22"/>
  <c r="N12" s="1"/>
  <c r="M12"/>
  <c r="N5"/>
  <c r="N7" s="1"/>
  <c r="M7"/>
  <c r="O12" i="20"/>
  <c r="N14"/>
  <c r="O9"/>
  <c r="O19"/>
  <c r="O21" s="1"/>
  <c r="N21"/>
  <c r="O23"/>
  <c r="O24" s="1"/>
  <c r="N24"/>
  <c r="S18" i="30"/>
  <c r="T18" s="1"/>
  <c r="S16"/>
  <c r="T16" s="1"/>
  <c r="R16"/>
  <c r="S23"/>
  <c r="T23" s="1"/>
  <c r="R23"/>
  <c r="S10"/>
  <c r="T10" s="1"/>
  <c r="R10"/>
  <c r="R9"/>
  <c r="S9"/>
  <c r="T9" s="1"/>
  <c r="S14"/>
  <c r="T14" s="1"/>
  <c r="R14"/>
  <c r="S7"/>
  <c r="T7" s="1"/>
  <c r="R7"/>
  <c r="R13"/>
  <c r="S13"/>
  <c r="T13" s="1"/>
  <c r="R5"/>
  <c r="S5"/>
  <c r="T5" s="1"/>
  <c r="S11"/>
  <c r="T11" s="1"/>
  <c r="R11"/>
  <c r="S12"/>
  <c r="T12" s="1"/>
  <c r="R12"/>
  <c r="R17"/>
  <c r="S17"/>
  <c r="T17" s="1"/>
  <c r="R15"/>
  <c r="S15"/>
  <c r="T15" s="1"/>
  <c r="S20"/>
  <c r="T20" s="1"/>
  <c r="R20"/>
  <c r="R22"/>
  <c r="S22"/>
  <c r="T22" s="1"/>
  <c r="R21"/>
  <c r="S21"/>
  <c r="T21" s="1"/>
  <c r="S19"/>
  <c r="T19" s="1"/>
  <c r="R19"/>
  <c r="S8"/>
  <c r="T8" s="1"/>
  <c r="R8"/>
  <c r="N16" i="18"/>
  <c r="O4" i="24"/>
  <c r="Q5" i="28"/>
  <c r="Q4" i="30"/>
  <c r="P7" i="28"/>
  <c r="P6"/>
  <c r="P4"/>
  <c r="P9"/>
  <c r="P10"/>
  <c r="J6" i="20"/>
  <c r="L6" s="1"/>
  <c r="K6"/>
  <c r="B6"/>
  <c r="L5"/>
  <c r="K5"/>
  <c r="B5"/>
  <c r="J4"/>
  <c r="L4" s="1"/>
  <c r="K4"/>
  <c r="B4"/>
  <c r="I13" i="18"/>
  <c r="K13" s="1"/>
  <c r="J13"/>
  <c r="B13"/>
  <c r="I10"/>
  <c r="K10" s="1"/>
  <c r="J10"/>
  <c r="B10"/>
  <c r="I7"/>
  <c r="K7" s="1"/>
  <c r="J7"/>
  <c r="B7"/>
  <c r="A32" i="14"/>
  <c r="G32" s="1"/>
  <c r="A31"/>
  <c r="G31" s="1"/>
  <c r="A29"/>
  <c r="G29" s="1"/>
  <c r="A28"/>
  <c r="G28" s="1"/>
  <c r="A26"/>
  <c r="G26" s="1"/>
  <c r="A25"/>
  <c r="G25" s="1"/>
  <c r="A42"/>
  <c r="G42" s="1"/>
  <c r="A43"/>
  <c r="G43" s="1"/>
  <c r="A44"/>
  <c r="G44" s="1"/>
  <c r="A45"/>
  <c r="G45" s="1"/>
  <c r="A14"/>
  <c r="G14" s="1"/>
  <c r="E189" i="33" l="1"/>
  <c r="E197"/>
  <c r="M6" i="20"/>
  <c r="N6" s="1"/>
  <c r="O6" s="1"/>
  <c r="E41" i="33"/>
  <c r="E196"/>
  <c r="E40"/>
  <c r="P4" i="24"/>
  <c r="E33" i="33" s="1"/>
  <c r="O7" i="24"/>
  <c r="O14" i="20"/>
  <c r="E136" i="33"/>
  <c r="E89"/>
  <c r="E176"/>
  <c r="E187"/>
  <c r="E192"/>
  <c r="E194"/>
  <c r="E188"/>
  <c r="E186"/>
  <c r="E44"/>
  <c r="E195"/>
  <c r="E85"/>
  <c r="E90"/>
  <c r="E84"/>
  <c r="E147"/>
  <c r="E127"/>
  <c r="E143"/>
  <c r="E160"/>
  <c r="E177"/>
  <c r="E19"/>
  <c r="E49"/>
  <c r="E65"/>
  <c r="E141"/>
  <c r="E174"/>
  <c r="E47"/>
  <c r="E140"/>
  <c r="E173"/>
  <c r="E46"/>
  <c r="E4"/>
  <c r="E110"/>
  <c r="E133"/>
  <c r="E8"/>
  <c r="E148"/>
  <c r="E6"/>
  <c r="E129"/>
  <c r="E66"/>
  <c r="E126"/>
  <c r="E142"/>
  <c r="E159"/>
  <c r="E175"/>
  <c r="E18"/>
  <c r="E48"/>
  <c r="E64"/>
  <c r="E158"/>
  <c r="E17"/>
  <c r="E63"/>
  <c r="E157"/>
  <c r="E16"/>
  <c r="E62"/>
  <c r="E58"/>
  <c r="E9"/>
  <c r="E116"/>
  <c r="E53"/>
  <c r="E146"/>
  <c r="E21"/>
  <c r="E161"/>
  <c r="E125"/>
  <c r="E24"/>
  <c r="E130"/>
  <c r="E51"/>
  <c r="E124"/>
  <c r="E107"/>
  <c r="E131"/>
  <c r="E22"/>
  <c r="E20"/>
  <c r="E123"/>
  <c r="E139"/>
  <c r="E156"/>
  <c r="E172"/>
  <c r="E15"/>
  <c r="E45"/>
  <c r="E61"/>
  <c r="E113"/>
  <c r="E138"/>
  <c r="E155"/>
  <c r="E171"/>
  <c r="E14"/>
  <c r="E31"/>
  <c r="E60"/>
  <c r="E112"/>
  <c r="E117"/>
  <c r="E149"/>
  <c r="E106"/>
  <c r="E23"/>
  <c r="E163"/>
  <c r="E179"/>
  <c r="E178"/>
  <c r="E122"/>
  <c r="E55"/>
  <c r="E7"/>
  <c r="E52"/>
  <c r="E5"/>
  <c r="E121"/>
  <c r="E154"/>
  <c r="E170"/>
  <c r="E13"/>
  <c r="E29"/>
  <c r="E59"/>
  <c r="E111"/>
  <c r="E169"/>
  <c r="E28"/>
  <c r="E166"/>
  <c r="E132"/>
  <c r="E164"/>
  <c r="E180"/>
  <c r="E145"/>
  <c r="E144"/>
  <c r="E120"/>
  <c r="E137"/>
  <c r="E153"/>
  <c r="E12"/>
  <c r="E25"/>
  <c r="E165"/>
  <c r="E115"/>
  <c r="E105"/>
  <c r="E162"/>
  <c r="E67"/>
  <c r="E50"/>
  <c r="E119"/>
  <c r="E135"/>
  <c r="E152"/>
  <c r="E168"/>
  <c r="E11"/>
  <c r="E27"/>
  <c r="E57"/>
  <c r="E109"/>
  <c r="E118"/>
  <c r="E134"/>
  <c r="E151"/>
  <c r="E167"/>
  <c r="E10"/>
  <c r="E26"/>
  <c r="E56"/>
  <c r="E108"/>
  <c r="E150"/>
  <c r="E54"/>
  <c r="E104"/>
  <c r="E128"/>
  <c r="E96"/>
  <c r="F132" i="14"/>
  <c r="Q9" i="28"/>
  <c r="Q6"/>
  <c r="Q10"/>
  <c r="Q7"/>
  <c r="R4" i="30"/>
  <c r="E83" i="33" s="1"/>
  <c r="S4" i="30"/>
  <c r="T4" s="1"/>
  <c r="E87" i="33" s="1"/>
  <c r="Q4" i="28"/>
  <c r="P11"/>
  <c r="M5" i="20"/>
  <c r="N5" s="1"/>
  <c r="O5" s="1"/>
  <c r="M4"/>
  <c r="N4" s="1"/>
  <c r="L7" i="18"/>
  <c r="M7" s="1"/>
  <c r="N7" s="1"/>
  <c r="E190" i="33" s="1"/>
  <c r="L10" i="18"/>
  <c r="M10" s="1"/>
  <c r="N10" s="1"/>
  <c r="E191" i="33" s="1"/>
  <c r="L13" i="18"/>
  <c r="M13" s="1"/>
  <c r="N13" s="1"/>
  <c r="E193" i="33" s="1"/>
  <c r="E133" i="14"/>
  <c r="F133" s="1"/>
  <c r="E42" i="33" l="1"/>
  <c r="P7" i="24"/>
  <c r="O4" i="20"/>
  <c r="O7" s="1"/>
  <c r="N7"/>
  <c r="Q11" i="28"/>
  <c r="F5" i="10"/>
  <c r="F7"/>
  <c r="F8"/>
  <c r="F4"/>
  <c r="A4" i="14"/>
  <c r="A5"/>
  <c r="G5" s="1"/>
  <c r="A6"/>
  <c r="G6" s="1"/>
  <c r="A7"/>
  <c r="G7" s="1"/>
  <c r="A8"/>
  <c r="G8" s="1"/>
  <c r="A9"/>
  <c r="G9" s="1"/>
  <c r="A10"/>
  <c r="G10" s="1"/>
  <c r="A11"/>
  <c r="G11" s="1"/>
  <c r="A12"/>
  <c r="G12" s="1"/>
  <c r="A13"/>
  <c r="G13" s="1"/>
  <c r="A15"/>
  <c r="G15" s="1"/>
  <c r="A16"/>
  <c r="G16" s="1"/>
  <c r="A17"/>
  <c r="G17" s="1"/>
  <c r="A18"/>
  <c r="G18" s="1"/>
  <c r="A19"/>
  <c r="G19" s="1"/>
  <c r="A20"/>
  <c r="G20" s="1"/>
  <c r="A21"/>
  <c r="G21" s="1"/>
  <c r="A22"/>
  <c r="G22" s="1"/>
  <c r="A23"/>
  <c r="G23" s="1"/>
  <c r="A24"/>
  <c r="G24" s="1"/>
  <c r="A27"/>
  <c r="G27" s="1"/>
  <c r="A30"/>
  <c r="G30" s="1"/>
  <c r="A33"/>
  <c r="G33" s="1"/>
  <c r="A34"/>
  <c r="G34" s="1"/>
  <c r="A35"/>
  <c r="G35" s="1"/>
  <c r="A36"/>
  <c r="G36" s="1"/>
  <c r="A37"/>
  <c r="G37" s="1"/>
  <c r="A38"/>
  <c r="G38" s="1"/>
  <c r="A39"/>
  <c r="G39" s="1"/>
  <c r="A40"/>
  <c r="G40" s="1"/>
  <c r="A41"/>
  <c r="G41" s="1"/>
  <c r="A46"/>
  <c r="G46" s="1"/>
  <c r="A47"/>
  <c r="G47" s="1"/>
  <c r="A48"/>
  <c r="G48" s="1"/>
  <c r="A49"/>
  <c r="G49" s="1"/>
  <c r="A50"/>
  <c r="G50" s="1"/>
  <c r="A51"/>
  <c r="G51" s="1"/>
  <c r="A52"/>
  <c r="G52" s="1"/>
  <c r="A53"/>
  <c r="G53" s="1"/>
  <c r="A54"/>
  <c r="G54" s="1"/>
  <c r="A55"/>
  <c r="G55" s="1"/>
  <c r="A56"/>
  <c r="G56" s="1"/>
  <c r="A57"/>
  <c r="G57" s="1"/>
  <c r="A58"/>
  <c r="G58" s="1"/>
  <c r="A59"/>
  <c r="G59" s="1"/>
  <c r="A60"/>
  <c r="G60" s="1"/>
  <c r="A61"/>
  <c r="G61" s="1"/>
  <c r="A62"/>
  <c r="G62" s="1"/>
  <c r="A63"/>
  <c r="G63" s="1"/>
  <c r="A64"/>
  <c r="G64" s="1"/>
  <c r="A65"/>
  <c r="G65" s="1"/>
  <c r="A66"/>
  <c r="G66" s="1"/>
  <c r="A67"/>
  <c r="G67" s="1"/>
  <c r="A68"/>
  <c r="G68" s="1"/>
  <c r="A69"/>
  <c r="G69" s="1"/>
  <c r="A70"/>
  <c r="G70" s="1"/>
  <c r="A71"/>
  <c r="G71" s="1"/>
  <c r="A72"/>
  <c r="G72" s="1"/>
  <c r="A73"/>
  <c r="G73" s="1"/>
  <c r="A74"/>
  <c r="G74" s="1"/>
  <c r="A75"/>
  <c r="G75" s="1"/>
  <c r="A76"/>
  <c r="G76" s="1"/>
  <c r="A77"/>
  <c r="G77" s="1"/>
  <c r="A78"/>
  <c r="G78" s="1"/>
  <c r="A79"/>
  <c r="G79" s="1"/>
  <c r="A80"/>
  <c r="G80" s="1"/>
  <c r="A81"/>
  <c r="G81" s="1"/>
  <c r="A82"/>
  <c r="G82" s="1"/>
  <c r="A83"/>
  <c r="G83" s="1"/>
  <c r="A84"/>
  <c r="G84" s="1"/>
  <c r="A85"/>
  <c r="G85" s="1"/>
  <c r="A86"/>
  <c r="G86" s="1"/>
  <c r="A87"/>
  <c r="G87" s="1"/>
  <c r="A88"/>
  <c r="G88" s="1"/>
  <c r="A89"/>
  <c r="G89" s="1"/>
  <c r="A90"/>
  <c r="G90" s="1"/>
  <c r="A91"/>
  <c r="G91" s="1"/>
  <c r="A92"/>
  <c r="G92" s="1"/>
  <c r="A93"/>
  <c r="G93" s="1"/>
  <c r="A94"/>
  <c r="G94" s="1"/>
  <c r="A95"/>
  <c r="G95" s="1"/>
  <c r="A96"/>
  <c r="G96" s="1"/>
  <c r="A97"/>
  <c r="G97" s="1"/>
  <c r="A98"/>
  <c r="G98" s="1"/>
  <c r="A99"/>
  <c r="G99" s="1"/>
  <c r="A100"/>
  <c r="G100" s="1"/>
  <c r="A101"/>
  <c r="G101" s="1"/>
  <c r="A102"/>
  <c r="G102" s="1"/>
  <c r="A103"/>
  <c r="G103" s="1"/>
  <c r="A104"/>
  <c r="G104" s="1"/>
  <c r="A105"/>
  <c r="G105" s="1"/>
  <c r="A106"/>
  <c r="G106" s="1"/>
  <c r="A107"/>
  <c r="G107" s="1"/>
  <c r="A108"/>
  <c r="G108" s="1"/>
  <c r="A109"/>
  <c r="G109" s="1"/>
  <c r="A110"/>
  <c r="G110" s="1"/>
  <c r="A111"/>
  <c r="G111" s="1"/>
  <c r="A112"/>
  <c r="G112" s="1"/>
  <c r="A113"/>
  <c r="G113" s="1"/>
  <c r="A114"/>
  <c r="G114" s="1"/>
  <c r="A115"/>
  <c r="G115" s="1"/>
  <c r="A116"/>
  <c r="G116" s="1"/>
  <c r="A117"/>
  <c r="G117" s="1"/>
  <c r="A118"/>
  <c r="G118" s="1"/>
  <c r="A119"/>
  <c r="G119" s="1"/>
  <c r="A120"/>
  <c r="G120" s="1"/>
  <c r="A121"/>
  <c r="G121" s="1"/>
  <c r="A122"/>
  <c r="G122" s="1"/>
  <c r="A123"/>
  <c r="G123" s="1"/>
  <c r="A124"/>
  <c r="G124" s="1"/>
  <c r="A125"/>
  <c r="G125" s="1"/>
  <c r="A126"/>
  <c r="G126" s="1"/>
  <c r="A127"/>
  <c r="G127" s="1"/>
  <c r="A129"/>
  <c r="G129" s="1"/>
  <c r="D189" i="33" l="1"/>
  <c r="F189" s="1"/>
  <c r="D185"/>
  <c r="D42"/>
  <c r="F42" s="1"/>
  <c r="E30"/>
  <c r="D41"/>
  <c r="F41" s="1"/>
  <c r="D30"/>
  <c r="D184"/>
  <c r="G4" i="14"/>
  <c r="D7" i="33"/>
  <c r="F7" s="1"/>
  <c r="D11"/>
  <c r="F11" s="1"/>
  <c r="D15"/>
  <c r="F15" s="1"/>
  <c r="D19"/>
  <c r="F19" s="1"/>
  <c r="D23"/>
  <c r="F23" s="1"/>
  <c r="D27"/>
  <c r="F27" s="1"/>
  <c r="D34"/>
  <c r="D38"/>
  <c r="F38" s="1"/>
  <c r="D44"/>
  <c r="F44" s="1"/>
  <c r="D48"/>
  <c r="F48" s="1"/>
  <c r="D52"/>
  <c r="F52" s="1"/>
  <c r="D56"/>
  <c r="F56" s="1"/>
  <c r="D60"/>
  <c r="F60" s="1"/>
  <c r="D64"/>
  <c r="F64" s="1"/>
  <c r="D69"/>
  <c r="F69" s="1"/>
  <c r="D73"/>
  <c r="F73" s="1"/>
  <c r="D77"/>
  <c r="F77" s="1"/>
  <c r="D82"/>
  <c r="F82" s="1"/>
  <c r="D86"/>
  <c r="F86" s="1"/>
  <c r="D90"/>
  <c r="F90" s="1"/>
  <c r="D94"/>
  <c r="F94" s="1"/>
  <c r="D98"/>
  <c r="F98" s="1"/>
  <c r="D102"/>
  <c r="F102" s="1"/>
  <c r="D107"/>
  <c r="F107" s="1"/>
  <c r="D111"/>
  <c r="F111" s="1"/>
  <c r="D116"/>
  <c r="F116" s="1"/>
  <c r="D120"/>
  <c r="F120" s="1"/>
  <c r="D124"/>
  <c r="F124" s="1"/>
  <c r="D128"/>
  <c r="F128" s="1"/>
  <c r="D132"/>
  <c r="F132" s="1"/>
  <c r="D136"/>
  <c r="F136" s="1"/>
  <c r="D139"/>
  <c r="F139" s="1"/>
  <c r="D143"/>
  <c r="F143" s="1"/>
  <c r="D147"/>
  <c r="F147" s="1"/>
  <c r="D151"/>
  <c r="F151" s="1"/>
  <c r="D155"/>
  <c r="F155" s="1"/>
  <c r="D159"/>
  <c r="F159" s="1"/>
  <c r="D163"/>
  <c r="F163" s="1"/>
  <c r="D167"/>
  <c r="F167" s="1"/>
  <c r="D171"/>
  <c r="F171" s="1"/>
  <c r="D175"/>
  <c r="F175" s="1"/>
  <c r="D179"/>
  <c r="F179" s="1"/>
  <c r="D186"/>
  <c r="F186" s="1"/>
  <c r="D190"/>
  <c r="F190" s="1"/>
  <c r="D194"/>
  <c r="F194" s="1"/>
  <c r="D198"/>
  <c r="D14"/>
  <c r="F14" s="1"/>
  <c r="D37"/>
  <c r="F37" s="1"/>
  <c r="D51"/>
  <c r="F51" s="1"/>
  <c r="D63"/>
  <c r="F63" s="1"/>
  <c r="D76"/>
  <c r="F76" s="1"/>
  <c r="D89"/>
  <c r="F89" s="1"/>
  <c r="D101"/>
  <c r="F101" s="1"/>
  <c r="D115"/>
  <c r="F115" s="1"/>
  <c r="D127"/>
  <c r="F127" s="1"/>
  <c r="D138"/>
  <c r="F138" s="1"/>
  <c r="D158"/>
  <c r="F158" s="1"/>
  <c r="D170"/>
  <c r="F170" s="1"/>
  <c r="D183"/>
  <c r="F183" s="1"/>
  <c r="D197"/>
  <c r="D8"/>
  <c r="F8" s="1"/>
  <c r="D12"/>
  <c r="F12" s="1"/>
  <c r="D16"/>
  <c r="F16" s="1"/>
  <c r="D20"/>
  <c r="F20" s="1"/>
  <c r="D24"/>
  <c r="F24" s="1"/>
  <c r="D28"/>
  <c r="F28" s="1"/>
  <c r="D35"/>
  <c r="F35" s="1"/>
  <c r="D45"/>
  <c r="F45" s="1"/>
  <c r="D49"/>
  <c r="F49" s="1"/>
  <c r="D53"/>
  <c r="F53" s="1"/>
  <c r="D57"/>
  <c r="F57" s="1"/>
  <c r="D61"/>
  <c r="F61" s="1"/>
  <c r="D65"/>
  <c r="F65" s="1"/>
  <c r="D70"/>
  <c r="F70" s="1"/>
  <c r="D74"/>
  <c r="F74" s="1"/>
  <c r="D78"/>
  <c r="F78" s="1"/>
  <c r="D83"/>
  <c r="F83" s="1"/>
  <c r="D87"/>
  <c r="F87" s="1"/>
  <c r="D91"/>
  <c r="F91" s="1"/>
  <c r="D95"/>
  <c r="F95" s="1"/>
  <c r="D99"/>
  <c r="F99" s="1"/>
  <c r="D104"/>
  <c r="F104" s="1"/>
  <c r="D108"/>
  <c r="F108" s="1"/>
  <c r="D112"/>
  <c r="F112" s="1"/>
  <c r="D117"/>
  <c r="F117" s="1"/>
  <c r="D121"/>
  <c r="F121" s="1"/>
  <c r="D125"/>
  <c r="F125" s="1"/>
  <c r="D129"/>
  <c r="F129" s="1"/>
  <c r="D133"/>
  <c r="F133" s="1"/>
  <c r="D137"/>
  <c r="F137" s="1"/>
  <c r="D140"/>
  <c r="F140" s="1"/>
  <c r="D144"/>
  <c r="F144" s="1"/>
  <c r="D148"/>
  <c r="F148" s="1"/>
  <c r="D152"/>
  <c r="F152" s="1"/>
  <c r="D156"/>
  <c r="F156" s="1"/>
  <c r="D160"/>
  <c r="F160" s="1"/>
  <c r="D164"/>
  <c r="F164" s="1"/>
  <c r="D168"/>
  <c r="F168" s="1"/>
  <c r="D172"/>
  <c r="F172" s="1"/>
  <c r="D176"/>
  <c r="F176" s="1"/>
  <c r="D180"/>
  <c r="F180" s="1"/>
  <c r="D187"/>
  <c r="F187" s="1"/>
  <c r="D191"/>
  <c r="F191" s="1"/>
  <c r="D195"/>
  <c r="F195" s="1"/>
  <c r="D199"/>
  <c r="D10"/>
  <c r="F10" s="1"/>
  <c r="D22"/>
  <c r="F22" s="1"/>
  <c r="D33"/>
  <c r="D31"/>
  <c r="F31" s="1"/>
  <c r="D55"/>
  <c r="F55" s="1"/>
  <c r="D72"/>
  <c r="F72" s="1"/>
  <c r="D85"/>
  <c r="F85" s="1"/>
  <c r="D97"/>
  <c r="F97" s="1"/>
  <c r="D110"/>
  <c r="F110" s="1"/>
  <c r="D123"/>
  <c r="F123" s="1"/>
  <c r="D131"/>
  <c r="F131" s="1"/>
  <c r="D146"/>
  <c r="F146" s="1"/>
  <c r="D154"/>
  <c r="F154" s="1"/>
  <c r="D166"/>
  <c r="F166" s="1"/>
  <c r="D178"/>
  <c r="F178" s="1"/>
  <c r="D193"/>
  <c r="F193" s="1"/>
  <c r="D5"/>
  <c r="F5" s="1"/>
  <c r="D9"/>
  <c r="F9" s="1"/>
  <c r="D13"/>
  <c r="F13" s="1"/>
  <c r="D17"/>
  <c r="F17" s="1"/>
  <c r="D21"/>
  <c r="F21" s="1"/>
  <c r="D25"/>
  <c r="F25" s="1"/>
  <c r="D29"/>
  <c r="F29" s="1"/>
  <c r="D36"/>
  <c r="F36" s="1"/>
  <c r="D40"/>
  <c r="F40" s="1"/>
  <c r="D46"/>
  <c r="F46" s="1"/>
  <c r="D50"/>
  <c r="F50" s="1"/>
  <c r="D54"/>
  <c r="F54" s="1"/>
  <c r="D58"/>
  <c r="F58" s="1"/>
  <c r="D62"/>
  <c r="F62" s="1"/>
  <c r="D66"/>
  <c r="F66" s="1"/>
  <c r="D71"/>
  <c r="F71" s="1"/>
  <c r="D75"/>
  <c r="F75" s="1"/>
  <c r="D80"/>
  <c r="F80" s="1"/>
  <c r="D84"/>
  <c r="F84" s="1"/>
  <c r="D88"/>
  <c r="F88" s="1"/>
  <c r="D92"/>
  <c r="F92" s="1"/>
  <c r="D96"/>
  <c r="F96" s="1"/>
  <c r="D100"/>
  <c r="F100" s="1"/>
  <c r="D105"/>
  <c r="F105" s="1"/>
  <c r="D109"/>
  <c r="F109" s="1"/>
  <c r="D113"/>
  <c r="F113" s="1"/>
  <c r="D118"/>
  <c r="F118" s="1"/>
  <c r="D122"/>
  <c r="F122" s="1"/>
  <c r="D126"/>
  <c r="F126" s="1"/>
  <c r="D130"/>
  <c r="F130" s="1"/>
  <c r="D134"/>
  <c r="F134" s="1"/>
  <c r="D141"/>
  <c r="F141" s="1"/>
  <c r="D145"/>
  <c r="F145" s="1"/>
  <c r="D149"/>
  <c r="F149" s="1"/>
  <c r="D153"/>
  <c r="F153" s="1"/>
  <c r="D157"/>
  <c r="F157" s="1"/>
  <c r="D161"/>
  <c r="F161" s="1"/>
  <c r="D165"/>
  <c r="F165" s="1"/>
  <c r="D169"/>
  <c r="F169" s="1"/>
  <c r="D173"/>
  <c r="F173" s="1"/>
  <c r="D177"/>
  <c r="F177" s="1"/>
  <c r="D182"/>
  <c r="F182" s="1"/>
  <c r="D192"/>
  <c r="F192" s="1"/>
  <c r="D196"/>
  <c r="D4"/>
  <c r="D6"/>
  <c r="F6" s="1"/>
  <c r="D18"/>
  <c r="F18" s="1"/>
  <c r="D26"/>
  <c r="F26" s="1"/>
  <c r="D47"/>
  <c r="F47" s="1"/>
  <c r="D59"/>
  <c r="F59" s="1"/>
  <c r="D67"/>
  <c r="F67" s="1"/>
  <c r="D81"/>
  <c r="F81" s="1"/>
  <c r="D93"/>
  <c r="F93" s="1"/>
  <c r="D106"/>
  <c r="F106" s="1"/>
  <c r="D119"/>
  <c r="F119" s="1"/>
  <c r="D135"/>
  <c r="F135" s="1"/>
  <c r="D142"/>
  <c r="F142" s="1"/>
  <c r="D150"/>
  <c r="F150" s="1"/>
  <c r="D162"/>
  <c r="F162" s="1"/>
  <c r="D174"/>
  <c r="F174" s="1"/>
  <c r="D188"/>
  <c r="F188" s="1"/>
  <c r="B4" i="10"/>
  <c r="K8"/>
  <c r="M8" s="1"/>
  <c r="L8"/>
  <c r="B8"/>
  <c r="K7"/>
  <c r="M7" s="1"/>
  <c r="L7"/>
  <c r="B7"/>
  <c r="K5"/>
  <c r="M5" s="1"/>
  <c r="L5"/>
  <c r="B5"/>
  <c r="K4"/>
  <c r="M4" s="1"/>
  <c r="L4"/>
  <c r="E185" i="33" l="1"/>
  <c r="F185" s="1"/>
  <c r="N8" i="10"/>
  <c r="O8" s="1"/>
  <c r="P8" s="1"/>
  <c r="F30" i="33"/>
  <c r="E199"/>
  <c r="F199" s="1"/>
  <c r="D201"/>
  <c r="F4"/>
  <c r="F197"/>
  <c r="N7" i="10"/>
  <c r="O7" s="1"/>
  <c r="P7" s="1"/>
  <c r="N4"/>
  <c r="O4" s="1"/>
  <c r="N5"/>
  <c r="O5" s="1"/>
  <c r="P5" s="1"/>
  <c r="I5" i="6"/>
  <c r="K5" s="1"/>
  <c r="J5"/>
  <c r="P4" i="10" l="1"/>
  <c r="E184" i="33" s="1"/>
  <c r="O9" i="10"/>
  <c r="L5" i="6"/>
  <c r="M5" s="1"/>
  <c r="H6" i="9"/>
  <c r="G6"/>
  <c r="N5" i="6" l="1"/>
  <c r="M8"/>
  <c r="F33" i="33"/>
  <c r="P9" i="10"/>
  <c r="I6" i="9"/>
  <c r="N8" i="6" l="1"/>
  <c r="E34" i="33"/>
  <c r="E198" s="1"/>
  <c r="F198" s="1"/>
  <c r="F184"/>
  <c r="F196"/>
  <c r="F34" l="1"/>
  <c r="F201" s="1"/>
  <c r="E201"/>
</calcChain>
</file>

<file path=xl/sharedStrings.xml><?xml version="1.0" encoding="utf-8"?>
<sst xmlns="http://schemas.openxmlformats.org/spreadsheetml/2006/main" count="1884" uniqueCount="764">
  <si>
    <t>KASA</t>
  </si>
  <si>
    <t>ALINAN ÇEKLER</t>
  </si>
  <si>
    <t>BANKALAR</t>
  </si>
  <si>
    <t>VERİLEN ÇEKLER VE ÖDEME EMİRLERİ (-)</t>
  </si>
  <si>
    <t>DİĞER HAZIR DEĞERLER</t>
  </si>
  <si>
    <t>HİSSE SENETLERİ</t>
  </si>
  <si>
    <t>ÖZEL KESİM TAHVİL, SENET VE BONOLARI</t>
  </si>
  <si>
    <t>KAMU KESİMİ TAHVİL, SENET VE BONOLARI</t>
  </si>
  <si>
    <t>DİĞER MENKUL KIYMETLER</t>
  </si>
  <si>
    <t>MENKUL KIYMETLER DEĞER DÜŞÜKLÜĞÜ KARŞILIĞI (-)</t>
  </si>
  <si>
    <t>ALICILAR</t>
  </si>
  <si>
    <t>ALACAK SENETLERİ</t>
  </si>
  <si>
    <t>ALACAK SENETLERİ REESKONTU (-)</t>
  </si>
  <si>
    <t>VERİLEN DEPOZİTO VE TEMİNATLAR</t>
  </si>
  <si>
    <t>ŞÜPHELİ TİCARİ ALACAKLAR</t>
  </si>
  <si>
    <t>ŞÜPHELİ TİCARİ ALACAKLAR KARŞILIĞI (-)</t>
  </si>
  <si>
    <t>ORTAKLARDAN ALACAKLAR</t>
  </si>
  <si>
    <t>İŞTİRAKLERDEN ALACAKLAR</t>
  </si>
  <si>
    <t>BAĞLI ORTAKLIKLARDAN ALACAKLAR</t>
  </si>
  <si>
    <t>PERSONELDEN ALACAKLAR</t>
  </si>
  <si>
    <t>DİĞER ÇEŞİTLİ ALACAKLAR</t>
  </si>
  <si>
    <t>DİĞER ALACAK SENETLERİ REESKONTU (-)</t>
  </si>
  <si>
    <t>ŞÜPHELİ DİĞER ALACAKLAR</t>
  </si>
  <si>
    <t>ŞÜPHELİ DİĞER ALACAKLAR KARŞILIĞI (-)</t>
  </si>
  <si>
    <t>İLK MADDE VE MALZEME</t>
  </si>
  <si>
    <t>YARI MAMULLER - ÜRETİM</t>
  </si>
  <si>
    <t>MAMÜLLER</t>
  </si>
  <si>
    <t>TİCARİ MALLAR</t>
  </si>
  <si>
    <t>DİĞER STOKLAR</t>
  </si>
  <si>
    <t>STOK DEĞER DÜŞÜKLÜĞÜ KARŞILIĞI (-)</t>
  </si>
  <si>
    <t>VERİLEN SİPARİŞ AVANSLARI</t>
  </si>
  <si>
    <t>GELECEK AYLARA AİT GİDERLER</t>
  </si>
  <si>
    <t>GELİR TAHAKKUKLARI</t>
  </si>
  <si>
    <t>İNDİRİLECEK KATMA DEĞER VERGİSİ</t>
  </si>
  <si>
    <t>DİĞER KATMA DEĞER VERGİSİ</t>
  </si>
  <si>
    <t>PEŞİN ÖDENEN VERGİLER VE FONLAR</t>
  </si>
  <si>
    <t>PERSONEL AVANSLARI</t>
  </si>
  <si>
    <t>SAYIM VE TESELLÜM NOKSANLARI</t>
  </si>
  <si>
    <t>DİĞER ÇEŞİTLİ DÖNEN VARLIKLAR</t>
  </si>
  <si>
    <t>DİĞER DÖNEN VARLIKLAR KARŞILIĞI (-)</t>
  </si>
  <si>
    <t>ŞÜPHELİ ALACAKLAR KARŞILIĞI (-)</t>
  </si>
  <si>
    <t>BAĞLI MENKUL KIYMETLER</t>
  </si>
  <si>
    <t>BAĞLI MENKUL KIYMETLER DEĞER DÜŞÜKLÜĞÜ KARŞILIĞI (-)</t>
  </si>
  <si>
    <t>İŞTİRAKLER</t>
  </si>
  <si>
    <t>İŞTİRAKLERE SERMAYE TAAHHÜTLERİ (-)</t>
  </si>
  <si>
    <t>İŞTİRAKLER SERMAYE PAYLARI DEĞER DÜŞÜKLÜĞÜ KARŞILIĞI (-)</t>
  </si>
  <si>
    <t>BAĞLI ORTAKLIKLAR</t>
  </si>
  <si>
    <t>BAĞLI ORTAKLIKLARA SERMAYE TAAHHÜTLERİ (-)</t>
  </si>
  <si>
    <t>BAĞLI ORTAKLIKLAR SERMAYE PAYLARI DEĞER DÜŞÜKLÜGÜ KARŞILIĞI (-)</t>
  </si>
  <si>
    <t>DİĞER MALİ DURAN VARLIKLAR</t>
  </si>
  <si>
    <t>DİĞER MALİ DURAN VARLIKLAR KARŞILIĞI (-)</t>
  </si>
  <si>
    <t>ARAZİ VE ARSALAR</t>
  </si>
  <si>
    <t>YER ALTI VE YER ÜSTÜ DÜZENLERİ</t>
  </si>
  <si>
    <t>BİNALAR</t>
  </si>
  <si>
    <t>TESİS, MAKİNE VE CİHAZLAR</t>
  </si>
  <si>
    <t>TAŞITLAR</t>
  </si>
  <si>
    <t>DEMİRBAŞLAR</t>
  </si>
  <si>
    <t>DİĞER MADDİ DURAN VARLIKLAR</t>
  </si>
  <si>
    <t>BİRİKMİŞ AMORTİSMANLAR (-)</t>
  </si>
  <si>
    <t>YAPILMAKTA OLAN YATIRIMLAR</t>
  </si>
  <si>
    <t>VERİLEN AVANSLAR</t>
  </si>
  <si>
    <t>HAKLAR</t>
  </si>
  <si>
    <t>ŞEREFİYE</t>
  </si>
  <si>
    <t>KURULUŞ VE ÖRGÜTLENME GİDERLERİ</t>
  </si>
  <si>
    <t>ARAŞTIRMA VE GELİŞTİRME GİDERLERİ</t>
  </si>
  <si>
    <t>ÖZEL MALİYETLER</t>
  </si>
  <si>
    <t>DİĞER MADDİ OLMAYAN DURAN VARLIKLAR</t>
  </si>
  <si>
    <t>ARAMA GİDERLERİ</t>
  </si>
  <si>
    <t>HAZIRLIK VE GELİŞTİRME GİDERLERİ</t>
  </si>
  <si>
    <t>DİĞER ÖZEL TÜKENMEYE TABİ VARLIKLAR</t>
  </si>
  <si>
    <t>BİRİKMİŞ TÜKENME PAYLARI (-)</t>
  </si>
  <si>
    <t>GELECEK YILLARA AİT GİDERLER</t>
  </si>
  <si>
    <t>GELECEK YILLARDA İNDİRİLECEK KATMA DEĞER VERGİSİ</t>
  </si>
  <si>
    <t>GELECEK YILLAR İHTİYACI STOKLAR</t>
  </si>
  <si>
    <t>ELDEN ÇIKARILACAK STOKLAR VE MADDİ DURAN VARLIKLAR</t>
  </si>
  <si>
    <t>DİĞER ÇEŞİTLİ DURAN VARLIKLAR</t>
  </si>
  <si>
    <t>BANKA KREDİLERİ</t>
  </si>
  <si>
    <t>UZUN VADELİ KREDİLERİN ANAPARA TAKSİTLERİ VE FAİZLERİ</t>
  </si>
  <si>
    <t>TAHVİL ANAPARA BORÇ, TAKSİT VE FAİZLERİ</t>
  </si>
  <si>
    <t>ÇIKARILMIŞ BONOLAR VE SENETLER</t>
  </si>
  <si>
    <t>ÇIKARILMIŞ DİĞER MENKUL KIYMETLER</t>
  </si>
  <si>
    <t>MENKUL KIYMETLER İHRAÇ FARKI (-)</t>
  </si>
  <si>
    <t>DİĞER MALİ BORÇLAR</t>
  </si>
  <si>
    <t>SATICILAR</t>
  </si>
  <si>
    <t>BORÇ SENETLERİ</t>
  </si>
  <si>
    <t>BORÇ SENETLERİ REESKONTU (-)</t>
  </si>
  <si>
    <t>ALINAN DEPOZİTO VE TEMİNATLAR</t>
  </si>
  <si>
    <t>DİĞER TİCARİ BORÇLAR</t>
  </si>
  <si>
    <t>ORTAKLARA BORÇLAR</t>
  </si>
  <si>
    <t>İŞTİRAKLERE BORÇLAR</t>
  </si>
  <si>
    <t>BAĞLI ORTAKLIKLARA BORÇLAR</t>
  </si>
  <si>
    <t>PERSONELE BORÇLAR</t>
  </si>
  <si>
    <t>DİĞER BORÇ SENETLERİ REESKONTU (-)</t>
  </si>
  <si>
    <t>ALINAN SİPARİŞ AVANSLARI</t>
  </si>
  <si>
    <t>ALINAN DİĞER AVANSLAR</t>
  </si>
  <si>
    <t>ÖDENECEK VERGİ VE FONLAR</t>
  </si>
  <si>
    <t>ÖDENECEK SOSYAL GÜVENLİK KESİNTİLERİ</t>
  </si>
  <si>
    <t>VADESİ GEÇMİŞ ERTELENMİŞ VEYA TAKSİTLENDİRİLMİŞ VERGİ VE DİĞER YÜKÜMLÜLÜKLER</t>
  </si>
  <si>
    <t>ÖDENECEK DİĞER YÜKÜMLÜLÜKLER</t>
  </si>
  <si>
    <t>DÖNEM KÂRI VERGİ VE DİĞER YASAL YÜKÜMLÜLÜK KARŞILIKLARI</t>
  </si>
  <si>
    <t>DÖNEM KÂRININ PEŞİN ÖDENEN VERGİ VE DİĞER YÜKÜMLÜLÜKLERİ (-)</t>
  </si>
  <si>
    <t>KIDEM TAZMİNATI KARŞILIĞI</t>
  </si>
  <si>
    <t>MALİYET GİDERLERİ KARŞILIĞI</t>
  </si>
  <si>
    <t>DİĞER BORÇ VE GİDER KARŞILIKLARI</t>
  </si>
  <si>
    <t>GELECEK AYLARA AİT GELİRLER</t>
  </si>
  <si>
    <t>GİDER TAHAKKUKLARI</t>
  </si>
  <si>
    <t>HESAPLANAN KDV</t>
  </si>
  <si>
    <t>DİĞER KDV</t>
  </si>
  <si>
    <t>DİĞER ÇEŞİTLİ YABANCI KAYNAKLAR</t>
  </si>
  <si>
    <t>ÇIKARILMIŞ TAHVİLLER</t>
  </si>
  <si>
    <t>KAMUYA OLAN ERTELENMİŞ VEYA TAKSİTLENDİRİLMİŞ BORÇLAR</t>
  </si>
  <si>
    <t>GELECEK YILLARA AİT GELİRLER</t>
  </si>
  <si>
    <t>TESİSE KATILMA PAYLARI</t>
  </si>
  <si>
    <t>DİĞER ÇEŞİTLİ UZUN VADELİ YABANCI KAYNAKLAR</t>
  </si>
  <si>
    <t>SERMAYE</t>
  </si>
  <si>
    <t>ÖDENMEMİŞ SERMAYE (-)</t>
  </si>
  <si>
    <t>HİSSE SENETLERİ İHRAÇ PRİMLERİ</t>
  </si>
  <si>
    <t>HİSSE SENEDİ İPTAL KÂRLARI</t>
  </si>
  <si>
    <t>İŞTİRAKLER YENİDEN DEĞERLEME ARTIŞLARI</t>
  </si>
  <si>
    <t>DİĞER SERMAYE YEDEKLERİ</t>
  </si>
  <si>
    <t>YASAL YEDEKLER</t>
  </si>
  <si>
    <t>STATÜ YEDEKLERİ</t>
  </si>
  <si>
    <t>OLAĞANÜSTÜ YEDEKLER</t>
  </si>
  <si>
    <t>DİĞER KÂR YEDEKLERİ</t>
  </si>
  <si>
    <t>ÖZEL FONLAR</t>
  </si>
  <si>
    <t>GEÇMİŞ YILLAR KÂRLARI</t>
  </si>
  <si>
    <t>GEÇMİŞ YILLAR ZARARLARI</t>
  </si>
  <si>
    <t>DÖNEM NET KÂRI</t>
  </si>
  <si>
    <t>DÖNEM NET ZARARI (-)</t>
  </si>
  <si>
    <t>Hesap Kodu</t>
  </si>
  <si>
    <t>Hesap Adı</t>
  </si>
  <si>
    <t>KAZANILMAMIŞ FİNANSAL KİRALAMA FAİZ GELİRLERİ (-)</t>
  </si>
  <si>
    <t>TAŞERONLARA VERİLEN AVANSLAR</t>
  </si>
  <si>
    <t>DEVREDEN KDV</t>
  </si>
  <si>
    <t>İŞ AVANSLARI</t>
  </si>
  <si>
    <t>FİNANSAL KİRALAMA İŞLEMLERİNDEN BORÇLAR</t>
  </si>
  <si>
    <t>ERTELENMİŞ FİNANSAL KİRALAMA BORÇLANMA MALİYETLERİ(-)</t>
  </si>
  <si>
    <t>MERKEZ VE ŞUBELER CARİ HESABI</t>
  </si>
  <si>
    <t>SAYIM VE TESELLÜM FAZLALARI</t>
  </si>
  <si>
    <t>GELECEK YILLARA ERTELENEN VEYA TERKİN EDİLEN KATMA DEĞER VERGİSİ</t>
  </si>
  <si>
    <t>HAKEDİŞ MALİYETLERİ</t>
  </si>
  <si>
    <t>YILLARA YAYGIN İNŞAAT VE ONARIM HAKEDİŞ BEDELLERİ</t>
  </si>
  <si>
    <t>DİĞER ÇEŞİTLİ BORÇLAR</t>
  </si>
  <si>
    <t>Kebir Kodu</t>
  </si>
  <si>
    <t>Giriş Tarihi</t>
  </si>
  <si>
    <t>dönem</t>
  </si>
  <si>
    <t>yi-üfe</t>
  </si>
  <si>
    <t>202312</t>
  </si>
  <si>
    <t>Muhasebe Kodu</t>
  </si>
  <si>
    <t>Giriş Tutarı</t>
  </si>
  <si>
    <t>Düzeltme Katsayısı</t>
  </si>
  <si>
    <t>Düzeltilmiş Tutar</t>
  </si>
  <si>
    <t>Giriş Ayı Endeksi</t>
  </si>
  <si>
    <t>Düzeltmenin Yapılacağı Dönem</t>
  </si>
  <si>
    <t>Düzeltme Ayı Endeksi</t>
  </si>
  <si>
    <t>Enflasyon Fark Tutarı</t>
  </si>
  <si>
    <t>ROFM</t>
  </si>
  <si>
    <t>BORÇ TUTARININ ESAS ALINMASI YÖNTEMİNE GÖRE</t>
  </si>
  <si>
    <t>Borç Tutarı</t>
  </si>
  <si>
    <t>Borcun Kapatıldığı Tarih</t>
  </si>
  <si>
    <t>Borcun Alındığı Tarih</t>
  </si>
  <si>
    <t>TOPLAM FİNANSMAN MALİYETİNİN ESAS ALINMASI YÖNTEMİ</t>
  </si>
  <si>
    <t>Toplam Finansman Maliyeti</t>
  </si>
  <si>
    <t>Hesap Dönemi Başı</t>
  </si>
  <si>
    <t>Hesap Dönemi Sonu</t>
  </si>
  <si>
    <t>İlgili hesap dönemine ait ortalama ticari kredi faiz oranı</t>
  </si>
  <si>
    <t>BASİT ORTALAMA YÖNTEM</t>
  </si>
  <si>
    <t>Önceki Hesap Dönemi Sonu</t>
  </si>
  <si>
    <t>Cari Hesap Dönemi Sonu</t>
  </si>
  <si>
    <t>Düzeltilmiş Değer</t>
  </si>
  <si>
    <t>Stok Hesabı</t>
  </si>
  <si>
    <t>252.01.001</t>
  </si>
  <si>
    <t>253.01.001</t>
  </si>
  <si>
    <t>254.01.001</t>
  </si>
  <si>
    <t>255.01.001</t>
  </si>
  <si>
    <t>500.01.001</t>
  </si>
  <si>
    <t>Sermayenin Kaynağı</t>
  </si>
  <si>
    <t>Birikmiş Amortisman</t>
  </si>
  <si>
    <t>Düzeltilmiş Maliyet Tutarı</t>
  </si>
  <si>
    <t>Düzeltilmiş Amortisman Tutarı</t>
  </si>
  <si>
    <t>Enflasyon Fark Tutarı-Maliyet</t>
  </si>
  <si>
    <t>Enflasyon Fark Tutarı-Amortisman</t>
  </si>
  <si>
    <t>Açıklama</t>
  </si>
  <si>
    <t>Düzeltmeye Esas Tutar</t>
  </si>
  <si>
    <t>endekslenecek</t>
  </si>
  <si>
    <t>Endekslenecekmi?</t>
  </si>
  <si>
    <t>100.01.001</t>
  </si>
  <si>
    <t>MERKEZ KASA</t>
  </si>
  <si>
    <t>100.50.001</t>
  </si>
  <si>
    <t>USD KASASI</t>
  </si>
  <si>
    <t>100.50.002</t>
  </si>
  <si>
    <t>EURO KASASI</t>
  </si>
  <si>
    <t>102.01.001</t>
  </si>
  <si>
    <t>102.03.002</t>
  </si>
  <si>
    <t>102.04.001</t>
  </si>
  <si>
    <t>120.06.254</t>
  </si>
  <si>
    <t>120.33.144</t>
  </si>
  <si>
    <t>120.34.003</t>
  </si>
  <si>
    <t>PORTFÖYDEKİ ALACAK SENETLERİ</t>
  </si>
  <si>
    <t>121.01.001</t>
  </si>
  <si>
    <t>PORTFÖYDEKİ VADELİ ÇEKLER</t>
  </si>
  <si>
    <t>121.11.001</t>
  </si>
  <si>
    <t>121.12.001</t>
  </si>
  <si>
    <t>YAPI VE KREDİ BANKASI A.Ş. TAHSİLDEKİ ÇEKLER</t>
  </si>
  <si>
    <t>DİĞER TİCARİ ALACAKLAR</t>
  </si>
  <si>
    <t>127.01.007</t>
  </si>
  <si>
    <t>GARANTİ KREDİ KARTLARINDAN ALACAKLAR</t>
  </si>
  <si>
    <t>127.01.013</t>
  </si>
  <si>
    <t>ZİRAATBANK KREDİ KARTLARINDAN ALACAKLAR</t>
  </si>
  <si>
    <t>128.12.005</t>
  </si>
  <si>
    <t>128.13.001</t>
  </si>
  <si>
    <t>128.14.005</t>
  </si>
  <si>
    <t>129.01.001</t>
  </si>
  <si>
    <t>KASIM DÖNEMİ KDV ALACAĞI</t>
  </si>
  <si>
    <t>136.04.009</t>
  </si>
  <si>
    <t>EYLÜL DÖNEMİ KDV ALACAĞI</t>
  </si>
  <si>
    <t>136.05.011</t>
  </si>
  <si>
    <t>150.01.001</t>
  </si>
  <si>
    <t>151.01.001</t>
  </si>
  <si>
    <t>152.01.001</t>
  </si>
  <si>
    <t>153.03.047</t>
  </si>
  <si>
    <t>153.61.007</t>
  </si>
  <si>
    <t>153.61.011</t>
  </si>
  <si>
    <t>157.30.002</t>
  </si>
  <si>
    <t>ELDİVEN</t>
  </si>
  <si>
    <t>157.30.003</t>
  </si>
  <si>
    <t>TEMİZLİK MALZEMELERİ</t>
  </si>
  <si>
    <t>157.30.004</t>
  </si>
  <si>
    <t>159.06.002</t>
  </si>
  <si>
    <t>159.06.040</t>
  </si>
  <si>
    <t>159.06.159</t>
  </si>
  <si>
    <t>180.03.001</t>
  </si>
  <si>
    <t>OCAK AYI G.Y.G</t>
  </si>
  <si>
    <t>180.03.002</t>
  </si>
  <si>
    <t>ŞUBAT AYI G.Y.G</t>
  </si>
  <si>
    <t>180.03.003</t>
  </si>
  <si>
    <t>MART AYI G.Y.G</t>
  </si>
  <si>
    <t>180.03.004</t>
  </si>
  <si>
    <t>NİSAN AYI G.Y.G</t>
  </si>
  <si>
    <t>PEŞİN İTH.AİT GELECEK DÖNEMLERE İLİŞKİN USD KUR FARKI</t>
  </si>
  <si>
    <t>PEŞİN İTH.AİT GELECEK DÖNEMLERE İLİŞKİN EUR KUR FARKI</t>
  </si>
  <si>
    <t>SON.DÖN.DEVİR KDV</t>
  </si>
  <si>
    <t>190.01.001</t>
  </si>
  <si>
    <t>KASIM AYI İHR TES.ERT.KDV</t>
  </si>
  <si>
    <t>ARALIK AYI İHR TES.ERT.KDV</t>
  </si>
  <si>
    <t>192.22.011</t>
  </si>
  <si>
    <t>192.22.012</t>
  </si>
  <si>
    <t>195.01.162</t>
  </si>
  <si>
    <t>195.01.174</t>
  </si>
  <si>
    <t>245.01.001</t>
  </si>
  <si>
    <t>250.01.001</t>
  </si>
  <si>
    <t>251.01.001</t>
  </si>
  <si>
    <t>257.01.000</t>
  </si>
  <si>
    <t>YERALTI YER ÜSTÜ DÜZ.AMORTİSMANLARI</t>
  </si>
  <si>
    <t>257.01.001</t>
  </si>
  <si>
    <t>BİNA AMORTİSMANLARI</t>
  </si>
  <si>
    <t>257.01.002</t>
  </si>
  <si>
    <t>TES.MAK.VE CİH.AMORTİSMANLARI</t>
  </si>
  <si>
    <t>257.01.003</t>
  </si>
  <si>
    <t>TAŞIT AMORTİSMANLARI</t>
  </si>
  <si>
    <t>257.01.004</t>
  </si>
  <si>
    <t>DEMİRBAŞ AMORTİSMANLARI</t>
  </si>
  <si>
    <t>260.01.001</t>
  </si>
  <si>
    <t>260.01.002</t>
  </si>
  <si>
    <t>263.01.001</t>
  </si>
  <si>
    <t>264.01.001</t>
  </si>
  <si>
    <t>267.01.001</t>
  </si>
  <si>
    <t>268.01.000</t>
  </si>
  <si>
    <t>HAKLARIN AMORTİSMANLARI</t>
  </si>
  <si>
    <t>268.01.002</t>
  </si>
  <si>
    <t>ÖZEL MALİYET AMORT.</t>
  </si>
  <si>
    <t>268.01.003</t>
  </si>
  <si>
    <t>DİĞ.MAD.OLM.DUR.VAR.AMORT.</t>
  </si>
  <si>
    <t>268.01.004</t>
  </si>
  <si>
    <t>300.03.001</t>
  </si>
  <si>
    <t>AKBANK T.A.Ş.TL KREDİSİ HESABI</t>
  </si>
  <si>
    <t>300.04.001</t>
  </si>
  <si>
    <t>T.C. ZİRAAT BANKASI A.Ş.  TL KREDİSİ HS</t>
  </si>
  <si>
    <t>300.07.001</t>
  </si>
  <si>
    <t>T.GARANTİ BANKASI A.Ş. TL KREDİ HESABI</t>
  </si>
  <si>
    <t>303.04.003</t>
  </si>
  <si>
    <t>303.04.028</t>
  </si>
  <si>
    <t>303.04.029</t>
  </si>
  <si>
    <t>309.03.006</t>
  </si>
  <si>
    <t>309.03.007</t>
  </si>
  <si>
    <t>320.06.008</t>
  </si>
  <si>
    <t>320.06.043</t>
  </si>
  <si>
    <t>320.06.045</t>
  </si>
  <si>
    <t>335.01.001</t>
  </si>
  <si>
    <t>336.01.010</t>
  </si>
  <si>
    <t>336.01.035</t>
  </si>
  <si>
    <t>340.01.008</t>
  </si>
  <si>
    <t>340.01.181</t>
  </si>
  <si>
    <t>340.02.043</t>
  </si>
  <si>
    <t>360.01.012</t>
  </si>
  <si>
    <t>İŞÇİLERDEN KESİLEN STOPAJ</t>
  </si>
  <si>
    <t>360.01.014</t>
  </si>
  <si>
    <t>HUZUR HAKKI STOPAJI</t>
  </si>
  <si>
    <t>360.01.015</t>
  </si>
  <si>
    <t>İHBAR TAZMİNATI STOPAJI</t>
  </si>
  <si>
    <t>360.01.022</t>
  </si>
  <si>
    <t>SERBEST MENS.KES.STOPAJ</t>
  </si>
  <si>
    <t>360.01.041</t>
  </si>
  <si>
    <t>KİRALARDAN KES.STOPAJ</t>
  </si>
  <si>
    <t>360.01.145</t>
  </si>
  <si>
    <t xml:space="preserve">ESNAF MUAFLIĞINDAN YARAR. YAPILAN ÖD.STOPAJ </t>
  </si>
  <si>
    <t>360.01.279</t>
  </si>
  <si>
    <t xml:space="preserve">DİĞER STOPAJ (KVK 30/1-d) </t>
  </si>
  <si>
    <t>360.01.300</t>
  </si>
  <si>
    <t>KESİLEN DAMGA VERGİSİ</t>
  </si>
  <si>
    <t>360.01.302</t>
  </si>
  <si>
    <t>HARCIRAHLARA İLİŞKİN DAMGA VERGİSİ</t>
  </si>
  <si>
    <t>360.02.002</t>
  </si>
  <si>
    <t>SORUMLU SIFATI İLE ÖDENECEK KATMA DEĞER VERGİSİ</t>
  </si>
  <si>
    <t>GERİ KAZANIM KATILIM VERGİSİ</t>
  </si>
  <si>
    <t>360.05.001</t>
  </si>
  <si>
    <t>360.06.001</t>
  </si>
  <si>
    <t>VUK GEÇİCİ 32. MAADEYE İSTİNADEN ÖDENECEK VERGİ</t>
  </si>
  <si>
    <t>361.01.001</t>
  </si>
  <si>
    <t>ÖDENECEK SGK PİRİMİ</t>
  </si>
  <si>
    <t>361.01.002</t>
  </si>
  <si>
    <t>ÖDENECEK İŞSİZLİK SİG.PİRİMİ</t>
  </si>
  <si>
    <t>361.01.003</t>
  </si>
  <si>
    <t>ÖDENECEK SGDP PİRİMİ</t>
  </si>
  <si>
    <t>370.01.001</t>
  </si>
  <si>
    <t>KURUMLAR VERGİSİ KARŞILIKLARI</t>
  </si>
  <si>
    <t>371.01.001</t>
  </si>
  <si>
    <t>PEŞİN ÖDENEN KURUM GEÇİCİ VERGİ</t>
  </si>
  <si>
    <t>380.01.003</t>
  </si>
  <si>
    <t>380.50.001</t>
  </si>
  <si>
    <t>380.50.002</t>
  </si>
  <si>
    <t>381.01.002</t>
  </si>
  <si>
    <t>KREDİ FAİZLERİ GİDER TAHAKKUKLARI</t>
  </si>
  <si>
    <t>381.01.003</t>
  </si>
  <si>
    <t>381.02.004</t>
  </si>
  <si>
    <t>TELEFON GİDER TAHAKKUKLARI</t>
  </si>
  <si>
    <t>381.02.005</t>
  </si>
  <si>
    <t>KOMİSYON GİDER TAHAKKUKLARI</t>
  </si>
  <si>
    <t>381.02.006</t>
  </si>
  <si>
    <t>SATIŞ SONRASI HİZMET SERVİS GİDER TAHAKKUKLARI</t>
  </si>
  <si>
    <t>381.02.007</t>
  </si>
  <si>
    <t>DANIŞMANLIK GİDER TAHAKKUKLARI</t>
  </si>
  <si>
    <t>KASIM AYI İHR.TES.KDV</t>
  </si>
  <si>
    <t>ARALIK AYI İHR.TES.KDV</t>
  </si>
  <si>
    <t>392.22.011</t>
  </si>
  <si>
    <t>392.22.012</t>
  </si>
  <si>
    <t>400.04.353</t>
  </si>
  <si>
    <t xml:space="preserve">T.C. ZİRAAT BANKASI A.Ş. KREDİSİ 27 2024 -1300 </t>
  </si>
  <si>
    <t>400.04.354</t>
  </si>
  <si>
    <t xml:space="preserve">T.C. ZİRAAT BANKASI A.Ş. KREDİSİ 27 2025 -1300 </t>
  </si>
  <si>
    <t>400.04.355</t>
  </si>
  <si>
    <t xml:space="preserve">T.C. ZİRAAT BANKASI A.Ş. KREDİSİ 27 2026 -1300 </t>
  </si>
  <si>
    <t>480.01.005</t>
  </si>
  <si>
    <t>GARANTİ BORDRO PROMOSYON GELİRİ-2024</t>
  </si>
  <si>
    <t>480.01.006</t>
  </si>
  <si>
    <t>GARANTİ BORDRO PROMOSYON GELİRİ-2025</t>
  </si>
  <si>
    <t>500.01.002</t>
  </si>
  <si>
    <t>500.01.003</t>
  </si>
  <si>
    <t>529.01.001</t>
  </si>
  <si>
    <t>BAĞLI ORTAKLIK SERMAYE ARTIŞ YEDEĞİ</t>
  </si>
  <si>
    <t>540.01.001</t>
  </si>
  <si>
    <t>1.TERTİP YEDEK AKÇE</t>
  </si>
  <si>
    <t>540.01.002</t>
  </si>
  <si>
    <t xml:space="preserve">2.TERTİP YEDEK AKÇE </t>
  </si>
  <si>
    <t>DÖNEM NET KARI</t>
  </si>
  <si>
    <t>590.01.001</t>
  </si>
  <si>
    <t>Borç Bakiye</t>
  </si>
  <si>
    <t>Alacak Bakiye</t>
  </si>
  <si>
    <t>Ana Hesap</t>
  </si>
  <si>
    <t>Parasal?</t>
  </si>
  <si>
    <t>100</t>
  </si>
  <si>
    <t>101</t>
  </si>
  <si>
    <t>102</t>
  </si>
  <si>
    <t>103</t>
  </si>
  <si>
    <t>108</t>
  </si>
  <si>
    <t>110</t>
  </si>
  <si>
    <t>111</t>
  </si>
  <si>
    <t>112</t>
  </si>
  <si>
    <t>118</t>
  </si>
  <si>
    <t>119</t>
  </si>
  <si>
    <t>120</t>
  </si>
  <si>
    <t>121</t>
  </si>
  <si>
    <t>122</t>
  </si>
  <si>
    <t>124</t>
  </si>
  <si>
    <t>126</t>
  </si>
  <si>
    <t>128</t>
  </si>
  <si>
    <t>129</t>
  </si>
  <si>
    <t>131</t>
  </si>
  <si>
    <t>132</t>
  </si>
  <si>
    <t>133</t>
  </si>
  <si>
    <t>135</t>
  </si>
  <si>
    <t>136</t>
  </si>
  <si>
    <t>137</t>
  </si>
  <si>
    <t>138</t>
  </si>
  <si>
    <t>139</t>
  </si>
  <si>
    <t>150</t>
  </si>
  <si>
    <t>151</t>
  </si>
  <si>
    <t>152</t>
  </si>
  <si>
    <t>153</t>
  </si>
  <si>
    <t>157</t>
  </si>
  <si>
    <t>158</t>
  </si>
  <si>
    <t>159</t>
  </si>
  <si>
    <t>170</t>
  </si>
  <si>
    <t>179</t>
  </si>
  <si>
    <t>180</t>
  </si>
  <si>
    <t>181</t>
  </si>
  <si>
    <t>190</t>
  </si>
  <si>
    <t>191</t>
  </si>
  <si>
    <t>192</t>
  </si>
  <si>
    <t>193</t>
  </si>
  <si>
    <t>195</t>
  </si>
  <si>
    <t>196</t>
  </si>
  <si>
    <t>197</t>
  </si>
  <si>
    <t>198</t>
  </si>
  <si>
    <t>199</t>
  </si>
  <si>
    <t>220</t>
  </si>
  <si>
    <t>221</t>
  </si>
  <si>
    <t>222</t>
  </si>
  <si>
    <t>224</t>
  </si>
  <si>
    <t>226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</si>
  <si>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</si>
  <si>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</si>
  <si>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</si>
  <si>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</si>
  <si>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</si>
  <si>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</si>
  <si>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</si>
  <si>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</si>
  <si>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</si>
  <si>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</si>
  <si>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</si>
  <si>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</si>
  <si>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</si>
  <si>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</si>
  <si>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</si>
  <si>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</si>
  <si>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</si>
  <si>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</si>
  <si>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</si>
  <si>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</si>
  <si>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</si>
  <si>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</si>
  <si>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</si>
  <si>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</si>
  <si>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</si>
  <si>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</si>
  <si>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</si>
  <si>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</si>
  <si>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</si>
  <si>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</si>
  <si>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</si>
  <si>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</si>
  <si>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</si>
  <si>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267</t>
  </si>
  <si>
    <t>268</t>
  </si>
  <si>
    <t>269</t>
  </si>
  <si>
    <t>271</t>
  </si>
  <si>
    <t>272</t>
  </si>
  <si>
    <t>277</t>
  </si>
  <si>
    <t>278</t>
  </si>
  <si>
    <t>279</t>
  </si>
  <si>
    <t>280</t>
  </si>
  <si>
    <t>281</t>
  </si>
  <si>
    <t>291</t>
  </si>
  <si>
    <t>292</t>
  </si>
  <si>
    <t>293</t>
  </si>
  <si>
    <t>294</t>
  </si>
  <si>
    <t>295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</si>
  <si>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</si>
  <si>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</si>
  <si>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</si>
  <si>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</si>
  <si>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</si>
  <si>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</si>
  <si>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</si>
  <si>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</si>
  <si>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</si>
  <si>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</si>
  <si>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308</t>
  </si>
  <si>
    <t>309</t>
  </si>
  <si>
    <t>320</t>
  </si>
  <si>
    <t>321</t>
  </si>
  <si>
    <t>322</t>
  </si>
  <si>
    <t>326</t>
  </si>
  <si>
    <t>329</t>
  </si>
  <si>
    <t>331</t>
  </si>
  <si>
    <t>332</t>
  </si>
  <si>
    <t>333</t>
  </si>
  <si>
    <t>335</t>
  </si>
  <si>
    <t>337</t>
  </si>
  <si>
    <t>339</t>
  </si>
  <si>
    <t>340</t>
  </si>
  <si>
    <t>349</t>
  </si>
  <si>
    <t>350</t>
  </si>
  <si>
    <t>360</t>
  </si>
  <si>
    <t>361</t>
  </si>
  <si>
    <t>368</t>
  </si>
  <si>
    <t>369</t>
  </si>
  <si>
    <t>370</t>
  </si>
  <si>
    <t>371</t>
  </si>
  <si>
    <t>372</t>
  </si>
  <si>
    <t>373</t>
  </si>
  <si>
    <t>379</t>
  </si>
  <si>
    <t>380</t>
  </si>
  <si>
    <t>381</t>
  </si>
  <si>
    <t>391</t>
  </si>
  <si>
    <t>392</t>
  </si>
  <si>
    <t>393</t>
  </si>
  <si>
    <t>397</t>
  </si>
  <si>
    <t>399</t>
  </si>
  <si>
    <t>400</t>
  </si>
  <si>
    <t>401</t>
  </si>
  <si>
    <t>402</t>
  </si>
  <si>
    <t>405</t>
  </si>
  <si>
    <t>407</t>
  </si>
  <si>
    <t>408</t>
  </si>
  <si>
    <t>409</t>
  </si>
  <si>
    <t>420</t>
  </si>
  <si>
    <t>421</t>
  </si>
  <si>
    <t>422</t>
  </si>
  <si>
    <t>426</t>
  </si>
  <si>
    <t>429</t>
  </si>
  <si>
    <t>431</t>
  </si>
  <si>
    <t>432</t>
  </si>
  <si>
    <t>433</t>
  </si>
  <si>
    <t>437</t>
  </si>
  <si>
    <t>438</t>
  </si>
  <si>
    <t>439</t>
  </si>
  <si>
    <t>440</t>
  </si>
  <si>
    <t>449</t>
  </si>
  <si>
    <t>472</t>
  </si>
  <si>
    <t>479</t>
  </si>
  <si>
    <t>480</t>
  </si>
  <si>
    <t>481</t>
  </si>
  <si>
    <t>492</t>
  </si>
  <si>
    <t>493</t>
  </si>
  <si>
    <t>499</t>
  </si>
  <si>
    <t>500</t>
  </si>
  <si>
    <t>501</t>
  </si>
  <si>
    <t>520</t>
  </si>
  <si>
    <t>521</t>
  </si>
  <si>
    <t>523</t>
  </si>
  <si>
    <t>529</t>
  </si>
  <si>
    <t>540</t>
  </si>
  <si>
    <t>541</t>
  </si>
  <si>
    <t>542</t>
  </si>
  <si>
    <t>548</t>
  </si>
  <si>
    <t>549</t>
  </si>
  <si>
    <t>570</t>
  </si>
  <si>
    <t>580</t>
  </si>
  <si>
    <t>590</t>
  </si>
  <si>
    <t>591</t>
  </si>
  <si>
    <t>336</t>
  </si>
  <si>
    <t>127</t>
  </si>
  <si>
    <t>Dönem Ortalama Düzeltme Katsayısı</t>
  </si>
  <si>
    <t>Nakit</t>
  </si>
  <si>
    <t>Geçmiş Yıllar Kârları</t>
  </si>
  <si>
    <t>Ayni Sermaye</t>
  </si>
  <si>
    <t>BAZ ALINACAK TARİH</t>
  </si>
  <si>
    <t>SATIN ALMA TARİHİ</t>
  </si>
  <si>
    <t>DEFTERE KAYIT TARİHİ</t>
  </si>
  <si>
    <t>P</t>
  </si>
  <si>
    <t>P/PO</t>
  </si>
  <si>
    <t>PO</t>
  </si>
  <si>
    <t>TAHSİL TARİHİ</t>
  </si>
  <si>
    <t>ÖDEME TARİHİ</t>
  </si>
  <si>
    <t>XX</t>
  </si>
  <si>
    <t>YY</t>
  </si>
  <si>
    <t>ZZ</t>
  </si>
  <si>
    <t>A HAMMADDESİ</t>
  </si>
  <si>
    <t>B HAMMADDESİ</t>
  </si>
  <si>
    <t>C HAMMADDESİ</t>
  </si>
  <si>
    <t>X YARI MAMULÜ</t>
  </si>
  <si>
    <t>Y YARI MAMULÜ</t>
  </si>
  <si>
    <t>Z YARI MAMULÜ</t>
  </si>
  <si>
    <t>X MAMULÜ</t>
  </si>
  <si>
    <t>Y MAMULÜ</t>
  </si>
  <si>
    <t>Z MAMULÜ</t>
  </si>
  <si>
    <t xml:space="preserve">YAPI  VE KREDİ BANKASI A.Ş. ……... ŞB. </t>
  </si>
  <si>
    <t xml:space="preserve">AKBANK T.A.Ş.  ……   TİCARİ  ŞB.     </t>
  </si>
  <si>
    <t xml:space="preserve">T.C. ZİRAAT BANKASI A.Ş.  …... ŞB. </t>
  </si>
  <si>
    <t>………………………. A.Ş.</t>
  </si>
  <si>
    <t>………………………LTD. ŞTİ.</t>
  </si>
  <si>
    <t>TEBLİĞDE BELİRLENEN TARİH</t>
  </si>
  <si>
    <t>----</t>
  </si>
  <si>
    <t>YK MAKİNASI</t>
  </si>
  <si>
    <t>MS MAKİNASI</t>
  </si>
  <si>
    <t>SB MAKİNASI</t>
  </si>
  <si>
    <t>GÖZLÜK</t>
  </si>
  <si>
    <t>CC A.Ş.</t>
  </si>
  <si>
    <t>A ÇALIŞANI</t>
  </si>
  <si>
    <t>B ÇALIŞANI</t>
  </si>
  <si>
    <t>X BAĞLI ORTAKLIĞI</t>
  </si>
  <si>
    <t>KNOW-HOW HAKKI</t>
  </si>
  <si>
    <t>T.C. ZİRAAT BANKASI A.Ş.  TİCARİ KREDİSİ-2</t>
  </si>
  <si>
    <t>T.C. ZİRAAT BANKASI A.Ş.  TİCARİ KREDİSİ-1</t>
  </si>
  <si>
    <t>T.C. ZİRAAT BANKASI A.Ş.  TİCARİ KREDİSİ-3</t>
  </si>
  <si>
    <t>FİNANSBANK A.Ş. K.KARTI</t>
  </si>
  <si>
    <t>T.GARANTİ BANKASI A.Ş. K.KARTI</t>
  </si>
  <si>
    <t>AA SAN.VE TİC.AŞ.</t>
  </si>
  <si>
    <t>AB TİC. A.Ş.</t>
  </si>
  <si>
    <t>AC TİC.LTD.ŞTİ.</t>
  </si>
  <si>
    <t>BANKA PROMOSYON GELİRİ</t>
  </si>
  <si>
    <t>TAKSİTLİ KREDİ FAİZ GİDER TAHAKKUKLARI</t>
  </si>
  <si>
    <t>570.01.021</t>
  </si>
  <si>
    <t>170.01.001</t>
  </si>
  <si>
    <t>350.01.001</t>
  </si>
  <si>
    <t>YYİ MALİYETİ-1</t>
  </si>
  <si>
    <t>YYİ MALİYETİ-2</t>
  </si>
  <si>
    <t>YYİ HAKEDİŞ BEDELİ-1</t>
  </si>
  <si>
    <t>YYİ HAKEDİŞ BEDELİ-2</t>
  </si>
  <si>
    <t>258.01.001</t>
  </si>
  <si>
    <t>XYZ A.Ş.</t>
  </si>
  <si>
    <t>ABC LTD.ŞTİ.</t>
  </si>
  <si>
    <t>EFG TİC. LTD. ŞTİ.</t>
  </si>
  <si>
    <t>AA LTD.ŞTİ.</t>
  </si>
  <si>
    <t>BB LTD. ŞTİ.</t>
  </si>
  <si>
    <t>HAREKETLİ AĞIRLIKLI ORTALAMA</t>
  </si>
  <si>
    <t>1. AY ALIŞ</t>
  </si>
  <si>
    <t>2. AY ALIŞ</t>
  </si>
  <si>
    <t>3. AY ALIŞ</t>
  </si>
  <si>
    <t>1. AY DÖNEM</t>
  </si>
  <si>
    <t>2. AY DÖNEM</t>
  </si>
  <si>
    <t>3. AY DÖNEM</t>
  </si>
  <si>
    <t>202402</t>
  </si>
  <si>
    <t>202403</t>
  </si>
  <si>
    <t>DÖNEM BAŞI ENDEKS</t>
  </si>
  <si>
    <t>1. AY ENDEKS</t>
  </si>
  <si>
    <t>2. AY ENDEKS</t>
  </si>
  <si>
    <t>3. AY ENDEKS</t>
  </si>
  <si>
    <t>DÖNEM BAŞI</t>
  </si>
  <si>
    <t>202401</t>
  </si>
  <si>
    <t>DÖNEM BAŞI STOĞUN ENDEKSLENMİŞ DEĞERİ</t>
  </si>
  <si>
    <t>ALIŞLARIN ENDEKSLENMİŞ DEĞERİ</t>
  </si>
  <si>
    <t>HAREKETLİ ORTLAMAYA GÖRE DÜZELTME KATSAYISI</t>
  </si>
  <si>
    <t>DÖNEM SONU STOK DEĞERİ</t>
  </si>
  <si>
    <t>Ağustos ayı harcamaları</t>
  </si>
  <si>
    <t>Eylül ayı harcamaları</t>
  </si>
  <si>
    <t>Ekim ayı harcamaları</t>
  </si>
  <si>
    <t>Kasım ayı harcamaları</t>
  </si>
  <si>
    <t>Aralık ayı harcamaları</t>
  </si>
  <si>
    <t>Ocak Ayı Harcamaları</t>
  </si>
  <si>
    <t>Şubat Ayı Harcamaları</t>
  </si>
  <si>
    <t>242.01.001</t>
  </si>
  <si>
    <t>FCC A.Ş.</t>
  </si>
  <si>
    <t>380.01.001</t>
  </si>
  <si>
    <t>GELECEK AYLARA AİT KİRA GELİRİ</t>
  </si>
  <si>
    <t>BANKA BORDRO PROMOSYON GELİRİ-2024</t>
  </si>
  <si>
    <t>542.01.001</t>
  </si>
  <si>
    <t xml:space="preserve">OLAĞANÜSTÜ YEDEK AKÇE </t>
  </si>
  <si>
    <t>549.01.001</t>
  </si>
  <si>
    <t>YENİLEME FONU</t>
  </si>
  <si>
    <t>525.01.001</t>
  </si>
  <si>
    <t>KAYDA ALINAN EMTİA ÖZEL KARŞILIK HESABI</t>
  </si>
  <si>
    <t>Giriş Tutarı (Endekslenmiş)</t>
  </si>
  <si>
    <t>570.01.001</t>
  </si>
  <si>
    <t>Döviz Bedeli (euro)</t>
  </si>
  <si>
    <t>380.02.001</t>
  </si>
  <si>
    <t>480.02.001</t>
  </si>
  <si>
    <t>X İŞTİRAKİ (Türkiye)</t>
  </si>
  <si>
    <t>D BAĞLI ORTAKLIĞI (Almanya)</t>
  </si>
  <si>
    <t>Parasal Olmayan Fonlar</t>
  </si>
  <si>
    <t>www.maligundem.com</t>
  </si>
  <si>
    <t>YMM Bülent FIÇICI</t>
  </si>
  <si>
    <t>Düzeltmeye Esas Tutar-TL</t>
  </si>
  <si>
    <t>Bakiye</t>
  </si>
  <si>
    <t>DÜZELTME TUTARI</t>
  </si>
  <si>
    <t>TOPLAM</t>
  </si>
  <si>
    <t>502</t>
  </si>
  <si>
    <t>SERMAYE DÜZLETMESİ OLUMLU FARKLARI</t>
  </si>
  <si>
    <t xml:space="preserve">DÜZELTME SONRASI </t>
  </si>
  <si>
    <t>DÜZELTME ÖNCESİ</t>
  </si>
  <si>
    <t>502.01.001</t>
  </si>
  <si>
    <t>258 Hs tan gelen enflasyon farkı</t>
  </si>
  <si>
    <t xml:space="preserve">Toplam Finansman Maliyeti Yöntemine Göre ROFM'nin Hesaplanması </t>
  </si>
  <si>
    <t>Önceki Yıl Sonu</t>
  </si>
  <si>
    <t>İlgili Hes Dönemi</t>
  </si>
  <si>
    <t>Ortalama Ticari Kredi</t>
  </si>
  <si>
    <t xml:space="preserve">Hesaplanan </t>
  </si>
  <si>
    <t>Top.Finas.Maliyetine</t>
  </si>
  <si>
    <t xml:space="preserve">İlgili Yıldaki </t>
  </si>
  <si>
    <t>Yİ-ÜFE</t>
  </si>
  <si>
    <t>Yİ-ÜFE Artış Oranı</t>
  </si>
  <si>
    <t>Faiz Oranı (ocak ayı)</t>
  </si>
  <si>
    <t>Oran</t>
  </si>
  <si>
    <t>Uygulanacak Oran</t>
  </si>
  <si>
    <t>Durum</t>
  </si>
  <si>
    <t>150 HS</t>
  </si>
  <si>
    <t>152 HS</t>
  </si>
  <si>
    <t>180 HS</t>
  </si>
  <si>
    <t>250 HS</t>
  </si>
  <si>
    <t>251 HS</t>
  </si>
  <si>
    <t>252 HS</t>
  </si>
  <si>
    <t>253 HS</t>
  </si>
  <si>
    <t>254 HS</t>
  </si>
  <si>
    <t>255 HS</t>
  </si>
  <si>
    <t>257 HS</t>
  </si>
  <si>
    <t>502 HS</t>
  </si>
  <si>
    <t>540 HS</t>
  </si>
  <si>
    <t>542 HS</t>
  </si>
  <si>
    <t>549 HS</t>
  </si>
  <si>
    <t>570 HS</t>
  </si>
  <si>
    <t>580 HS</t>
  </si>
  <si>
    <t>590 HS</t>
  </si>
  <si>
    <t>697 Hs için</t>
  </si>
  <si>
    <t>170 Hs</t>
  </si>
  <si>
    <t>171 Hs</t>
  </si>
  <si>
    <t>172 Hs</t>
  </si>
  <si>
    <t xml:space="preserve">350 Hs </t>
  </si>
  <si>
    <t>351 Hs</t>
  </si>
  <si>
    <t>352 Hs</t>
  </si>
  <si>
    <t>697 Hs dan 358 Hs a</t>
  </si>
  <si>
    <t>697 Hs dan 178 Hs a</t>
  </si>
  <si>
    <t>159 Hs</t>
  </si>
  <si>
    <t>502.01.002</t>
  </si>
  <si>
    <t>SERMAYE DÜZELtMESİ OLUMLU FARKLARI 2003</t>
  </si>
  <si>
    <t>SERMAYE DÜZELtMESİ OLUMLU FARKLARI 2004</t>
  </si>
  <si>
    <t>Sermaye Düzeltmesi Farkları</t>
  </si>
  <si>
    <t xml:space="preserve">340 Hs </t>
  </si>
  <si>
    <t>KIDEM TAZMİNATI TAHAKKUKU</t>
  </si>
  <si>
    <t>tahakkuk</t>
  </si>
  <si>
    <t>cari hesap</t>
  </si>
  <si>
    <t>900.01.001</t>
  </si>
  <si>
    <t>TEMİNAT MEKTUBUNDAN BORÇLAR</t>
  </si>
  <si>
    <t>TEMİNAT MEKTUBUNDAN ALACAKLAR</t>
  </si>
  <si>
    <t>901.01.001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</si>
  <si>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</si>
  <si>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</si>
  <si>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</si>
  <si>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</si>
  <si>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</si>
  <si>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</si>
  <si>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</si>
  <si>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</si>
  <si>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</si>
  <si>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En Son Enflasyon Düzeltmesinin Yapıldığı Tarih</t>
  </si>
  <si>
    <t>Yeni Enflasyon Düzeltmesinin Yapılacağı Tarih</t>
  </si>
  <si>
    <t>Basit Ortalama Yöntem İçin Önceki Dönem Sonu</t>
  </si>
  <si>
    <t>DÜZELTİLMİŞ GEÇMİŞ YIL KARLARI</t>
  </si>
  <si>
    <t>İlgili Dönem Sonu</t>
  </si>
  <si>
    <t>2024/06</t>
  </si>
  <si>
    <t>178/358</t>
  </si>
  <si>
    <t>648-658 Hs için</t>
  </si>
  <si>
    <t>Basit Ortalama Yöntem Katsayısı</t>
  </si>
  <si>
    <t>SERMAYE DÜZELTMESİ OLUMLU FARKLARI</t>
  </si>
  <si>
    <t>503</t>
  </si>
  <si>
    <t>SERMAYE DÜZELTMESİ OLUMSUZ FARKLARI</t>
  </si>
  <si>
    <t>580.01.001</t>
  </si>
  <si>
    <t>151 HS</t>
  </si>
  <si>
    <t>153 HS</t>
  </si>
  <si>
    <t>698 Hs dan 648 Hs a</t>
  </si>
  <si>
    <t>698 Hs dan 658 Hs a</t>
  </si>
  <si>
    <t>Açıklama;</t>
  </si>
  <si>
    <t>268 HS</t>
  </si>
  <si>
    <t>SERMAYE DÜZLETMESİ OLUMSUZ FARKLARI</t>
  </si>
  <si>
    <t>2024/09</t>
  </si>
  <si>
    <t>Aralık / Aralık</t>
  </si>
  <si>
    <t>Aralık / Kasım</t>
  </si>
  <si>
    <t>Aralık / Ekim</t>
  </si>
  <si>
    <t>Aralık / Eylül</t>
  </si>
  <si>
    <t>525</t>
  </si>
  <si>
    <t>Stok Değeri - 31.12.2024</t>
  </si>
  <si>
    <t>2024/12</t>
  </si>
  <si>
    <t>ÜÇ AYLIK</t>
  </si>
</sst>
</file>

<file path=xl/styles.xml><?xml version="1.0" encoding="utf-8"?>
<styleSheet xmlns="http://schemas.openxmlformats.org/spreadsheetml/2006/main">
  <numFmts count="4">
    <numFmt numFmtId="164" formatCode="_-* #,##0.00\ _T_L_-;\-* #,##0.00\ _T_L_-;_-* &quot;-&quot;??\ _T_L_-;_-@_-"/>
    <numFmt numFmtId="165" formatCode="#,##0.00000"/>
    <numFmt numFmtId="166" formatCode="#,##0.0000"/>
    <numFmt numFmtId="167" formatCode="0.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name val="Arial Tur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u/>
      <sz val="16.5"/>
      <color theme="10"/>
      <name val="Calibri"/>
      <family val="2"/>
    </font>
    <font>
      <b/>
      <sz val="10"/>
      <color rgb="FF7030A0"/>
      <name val="Arial Tur"/>
      <charset val="162"/>
    </font>
    <font>
      <sz val="11"/>
      <color theme="0" tint="-0.249977111117893"/>
      <name val="Calibri"/>
      <family val="2"/>
      <scheme val="minor"/>
    </font>
    <font>
      <sz val="8"/>
      <color rgb="FF7030A0"/>
      <name val="Calibri"/>
      <family val="2"/>
      <scheme val="minor"/>
    </font>
    <font>
      <u/>
      <sz val="8"/>
      <color rgb="FF7030A0"/>
      <name val="Calibri"/>
      <family val="2"/>
    </font>
    <font>
      <b/>
      <sz val="14"/>
      <color rgb="FF0070C0"/>
      <name val="Calibri"/>
      <family val="2"/>
      <charset val="16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charset val="162"/>
      <scheme val="minor"/>
    </font>
    <font>
      <b/>
      <sz val="11"/>
      <color rgb="FF7030A0"/>
      <name val="Calibri"/>
      <family val="2"/>
      <scheme val="minor"/>
    </font>
    <font>
      <b/>
      <sz val="10"/>
      <color rgb="FF0070C0"/>
      <name val="Arial Tur"/>
      <charset val="162"/>
    </font>
    <font>
      <b/>
      <sz val="10"/>
      <color rgb="FF0070C0"/>
      <name val="Arial"/>
      <family val="2"/>
      <charset val="16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charset val="162"/>
      <scheme val="minor"/>
    </font>
    <font>
      <u/>
      <sz val="11"/>
      <color rgb="FF7030A0"/>
      <name val="Calibri"/>
      <family val="2"/>
    </font>
    <font>
      <b/>
      <u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70C0"/>
      <name val="Arial Tur"/>
      <charset val="162"/>
    </font>
    <font>
      <sz val="8"/>
      <color rgb="FF0070C0"/>
      <name val="Calibri"/>
      <family val="2"/>
      <scheme val="minor"/>
    </font>
    <font>
      <u/>
      <sz val="8"/>
      <color rgb="FF0070C0"/>
      <name val="Calibri"/>
      <family val="2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6" fillId="0" borderId="0" xfId="2" applyNumberFormat="1" applyFont="1" applyAlignment="1" applyProtection="1">
      <protection locked="0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15" fillId="0" borderId="0" xfId="0" applyNumberFormat="1" applyFont="1" applyProtection="1">
      <protection hidden="1"/>
    </xf>
    <xf numFmtId="49" fontId="16" fillId="0" borderId="0" xfId="2" applyNumberFormat="1" applyFont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" fontId="0" fillId="0" borderId="0" xfId="0" applyNumberFormat="1" applyProtection="1">
      <protection hidden="1"/>
    </xf>
    <xf numFmtId="0" fontId="6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6" fillId="0" borderId="0" xfId="1" applyNumberFormat="1" applyFont="1" applyBorder="1" applyProtection="1">
      <protection locked="0"/>
    </xf>
    <xf numFmtId="0" fontId="8" fillId="0" borderId="0" xfId="0" applyFont="1" applyProtection="1">
      <protection locked="0"/>
    </xf>
    <xf numFmtId="3" fontId="4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horizontal="center" vertical="center" wrapText="1"/>
      <protection locked="0"/>
    </xf>
    <xf numFmtId="4" fontId="0" fillId="0" borderId="0" xfId="1" applyNumberFormat="1" applyFont="1" applyBorder="1" applyProtection="1">
      <protection locked="0"/>
    </xf>
    <xf numFmtId="4" fontId="6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6" fillId="0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" fontId="13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49" fontId="15" fillId="0" borderId="0" xfId="0" applyNumberFormat="1" applyFont="1" applyAlignment="1" applyProtection="1">
      <alignment horizontal="center"/>
      <protection hidden="1"/>
    </xf>
    <xf numFmtId="49" fontId="16" fillId="0" borderId="0" xfId="2" applyNumberFormat="1" applyFont="1" applyAlignment="1" applyProtection="1">
      <alignment horizontal="center"/>
      <protection hidden="1"/>
    </xf>
    <xf numFmtId="49" fontId="16" fillId="0" borderId="0" xfId="2" applyNumberFormat="1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3" fontId="19" fillId="0" borderId="0" xfId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center"/>
      <protection locked="0"/>
    </xf>
    <xf numFmtId="4" fontId="18" fillId="0" borderId="0" xfId="0" applyNumberFormat="1" applyFont="1" applyProtection="1">
      <protection locked="0"/>
    </xf>
    <xf numFmtId="165" fontId="18" fillId="0" borderId="0" xfId="0" applyNumberFormat="1" applyFont="1" applyProtection="1">
      <protection locked="0"/>
    </xf>
    <xf numFmtId="4" fontId="18" fillId="0" borderId="0" xfId="1" applyNumberFormat="1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4" fontId="18" fillId="0" borderId="0" xfId="0" applyNumberFormat="1" applyFont="1" applyProtection="1">
      <protection locked="0"/>
    </xf>
    <xf numFmtId="166" fontId="18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center" vertical="center" wrapText="1"/>
      <protection locked="0"/>
    </xf>
    <xf numFmtId="4" fontId="20" fillId="0" borderId="0" xfId="0" applyNumberFormat="1" applyFont="1" applyProtection="1">
      <protection locked="0"/>
    </xf>
    <xf numFmtId="0" fontId="18" fillId="3" borderId="0" xfId="0" applyFont="1" applyFill="1" applyProtection="1">
      <protection locked="0"/>
    </xf>
    <xf numFmtId="0" fontId="20" fillId="0" borderId="0" xfId="0" applyFont="1" applyAlignment="1" applyProtection="1">
      <alignment horizontal="center" wrapText="1"/>
      <protection locked="0"/>
    </xf>
    <xf numFmtId="4" fontId="18" fillId="0" borderId="0" xfId="0" applyNumberFormat="1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18" fillId="2" borderId="0" xfId="0" applyFont="1" applyFill="1" applyProtection="1">
      <protection hidden="1"/>
    </xf>
    <xf numFmtId="4" fontId="22" fillId="2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3" fontId="17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 wrapText="1"/>
      <protection locked="0"/>
    </xf>
    <xf numFmtId="3" fontId="18" fillId="0" borderId="0" xfId="0" applyNumberFormat="1" applyFont="1" applyProtection="1">
      <protection locked="0"/>
    </xf>
    <xf numFmtId="0" fontId="25" fillId="3" borderId="0" xfId="0" applyFont="1" applyFill="1" applyProtection="1"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4" fontId="18" fillId="3" borderId="0" xfId="0" applyNumberFormat="1" applyFont="1" applyFill="1" applyProtection="1">
      <protection locked="0"/>
    </xf>
    <xf numFmtId="4" fontId="24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3" borderId="0" xfId="0" applyNumberFormat="1" applyFont="1" applyFill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center"/>
      <protection hidden="1"/>
    </xf>
    <xf numFmtId="49" fontId="27" fillId="0" borderId="0" xfId="2" applyNumberFormat="1" applyFont="1" applyAlignment="1" applyProtection="1">
      <alignment horizontal="center"/>
      <protection hidden="1"/>
    </xf>
    <xf numFmtId="0" fontId="21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9" fontId="6" fillId="0" borderId="0" xfId="0" applyNumberFormat="1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165" fontId="28" fillId="0" borderId="0" xfId="0" applyNumberFormat="1" applyFont="1" applyAlignment="1" applyProtection="1">
      <alignment horizontal="center"/>
      <protection locked="0"/>
    </xf>
    <xf numFmtId="9" fontId="28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165" fontId="29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0" fontId="18" fillId="0" borderId="0" xfId="0" applyNumberFormat="1" applyFont="1" applyAlignment="1" applyProtection="1">
      <alignment horizontal="center"/>
      <protection locked="0"/>
    </xf>
    <xf numFmtId="165" fontId="24" fillId="0" borderId="0" xfId="0" applyNumberFormat="1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49" fontId="18" fillId="0" borderId="0" xfId="0" applyNumberFormat="1" applyFont="1" applyAlignment="1" applyProtection="1">
      <alignment wrapText="1"/>
      <protection locked="0"/>
    </xf>
    <xf numFmtId="4" fontId="18" fillId="0" borderId="0" xfId="0" applyNumberFormat="1" applyFont="1" applyAlignment="1" applyProtection="1">
      <alignment wrapText="1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49" fontId="32" fillId="0" borderId="0" xfId="0" applyNumberFormat="1" applyFont="1" applyProtection="1">
      <protection locked="0"/>
    </xf>
    <xf numFmtId="49" fontId="33" fillId="0" borderId="0" xfId="2" applyNumberFormat="1" applyFont="1" applyAlignme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24" fillId="2" borderId="0" xfId="0" applyFont="1" applyFill="1" applyProtection="1"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14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165" fontId="20" fillId="0" borderId="0" xfId="0" applyNumberFormat="1" applyFont="1" applyProtection="1">
      <protection locked="0"/>
    </xf>
    <xf numFmtId="4" fontId="20" fillId="0" borderId="0" xfId="1" applyNumberFormat="1" applyFont="1" applyBorder="1" applyProtection="1">
      <protection locked="0"/>
    </xf>
    <xf numFmtId="4" fontId="10" fillId="0" borderId="0" xfId="1" applyNumberFormat="1" applyFont="1" applyBorder="1" applyProtection="1">
      <protection locked="0"/>
    </xf>
    <xf numFmtId="0" fontId="20" fillId="0" borderId="0" xfId="0" applyFont="1" applyProtection="1">
      <protection locked="0"/>
    </xf>
    <xf numFmtId="49" fontId="3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hidden="1"/>
    </xf>
    <xf numFmtId="49" fontId="35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hidden="1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4" fontId="18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6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right"/>
      <protection locked="0"/>
    </xf>
    <xf numFmtId="49" fontId="31" fillId="0" borderId="0" xfId="0" applyNumberFormat="1" applyFont="1" applyAlignment="1" applyProtection="1">
      <alignment horizontal="center" wrapText="1"/>
      <protection locked="0"/>
    </xf>
    <xf numFmtId="4" fontId="31" fillId="0" borderId="0" xfId="0" applyNumberFormat="1" applyFont="1" applyAlignment="1" applyProtection="1">
      <alignment horizontal="center" wrapText="1"/>
      <protection locked="0"/>
    </xf>
    <xf numFmtId="167" fontId="38" fillId="0" borderId="0" xfId="0" applyNumberFormat="1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14" fontId="34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167" fontId="34" fillId="0" borderId="0" xfId="0" applyNumberFormat="1" applyFont="1" applyProtection="1">
      <protection locked="0"/>
    </xf>
    <xf numFmtId="167" fontId="39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wrapText="1"/>
      <protection locked="0"/>
    </xf>
  </cellXfs>
  <cellStyles count="3">
    <cellStyle name="Binlik Ayracı" xfId="1" builtinId="3"/>
    <cellStyle name="Köprü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ligundem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aligundem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aligundem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maligundem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maligundem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maligundem.com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aligundem.com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maligundem.com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maligundem.com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maligunde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ligundem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ligunde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ligunde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ligundem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aligundem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aligundem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aligundem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aligunde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H8" sqref="H8"/>
    </sheetView>
  </sheetViews>
  <sheetFormatPr defaultColWidth="9.1328125" defaultRowHeight="14.25"/>
  <cols>
    <col min="1" max="1" width="9.1328125" style="116" customWidth="1"/>
    <col min="2" max="2" width="12.6640625" style="117" customWidth="1"/>
    <col min="3" max="3" width="9" style="17"/>
    <col min="4" max="4" width="45.86328125" style="17" customWidth="1"/>
    <col min="5" max="5" width="11.6640625" style="17" customWidth="1"/>
    <col min="6" max="6" width="13.1328125" style="54" hidden="1" customWidth="1"/>
    <col min="7" max="7" width="11.46484375" style="54" customWidth="1"/>
    <col min="8" max="8" width="18.46484375" style="10" customWidth="1"/>
    <col min="9" max="12" width="9" style="10"/>
    <col min="13" max="13" width="15" style="10" customWidth="1"/>
    <col min="14" max="16384" width="9.1328125" style="10"/>
  </cols>
  <sheetData>
    <row r="1" spans="1:9">
      <c r="A1" s="157" t="s">
        <v>145</v>
      </c>
      <c r="B1" s="158" t="s">
        <v>146</v>
      </c>
      <c r="D1" s="165" t="s">
        <v>763</v>
      </c>
    </row>
    <row r="2" spans="1:9">
      <c r="A2" s="116" t="s">
        <v>147</v>
      </c>
      <c r="B2" s="117">
        <v>2915.02</v>
      </c>
      <c r="H2" s="12" t="s">
        <v>663</v>
      </c>
    </row>
    <row r="3" spans="1:9">
      <c r="A3" s="116" t="s">
        <v>631</v>
      </c>
      <c r="B3" s="117">
        <v>3035.59</v>
      </c>
      <c r="H3" s="13" t="s">
        <v>662</v>
      </c>
    </row>
    <row r="4" spans="1:9">
      <c r="A4" s="116" t="s">
        <v>624</v>
      </c>
      <c r="B4" s="117">
        <v>3149.03</v>
      </c>
      <c r="F4" s="54" t="str">
        <f>YEAR(E5)&amp;TEXT((MONTH(E5)),"00")</f>
        <v>202409</v>
      </c>
    </row>
    <row r="5" spans="1:9">
      <c r="A5" s="116" t="s">
        <v>625</v>
      </c>
      <c r="B5" s="117">
        <v>3252.79</v>
      </c>
      <c r="D5" s="116" t="s">
        <v>735</v>
      </c>
      <c r="E5" s="161">
        <v>45565</v>
      </c>
      <c r="F5" s="54" t="str">
        <f t="shared" ref="F5:F6" si="0">YEAR(E6)&amp;TEXT((MONTH(E6)),"00")</f>
        <v>202412</v>
      </c>
    </row>
    <row r="6" spans="1:9">
      <c r="A6" s="116" t="s">
        <v>726</v>
      </c>
      <c r="B6" s="117">
        <v>3369.98</v>
      </c>
      <c r="D6" s="116" t="s">
        <v>736</v>
      </c>
      <c r="E6" s="161">
        <v>45657</v>
      </c>
      <c r="F6" s="54" t="str">
        <f t="shared" si="0"/>
        <v>202409</v>
      </c>
    </row>
    <row r="7" spans="1:9">
      <c r="A7" s="116" t="s">
        <v>727</v>
      </c>
      <c r="B7" s="117">
        <v>3435.96</v>
      </c>
      <c r="D7" s="116" t="s">
        <v>737</v>
      </c>
      <c r="E7" s="161">
        <v>45565</v>
      </c>
    </row>
    <row r="8" spans="1:9">
      <c r="A8" s="116" t="s">
        <v>728</v>
      </c>
      <c r="B8" s="117">
        <v>3483.25</v>
      </c>
      <c r="E8" s="162"/>
    </row>
    <row r="9" spans="1:9">
      <c r="A9" s="116" t="s">
        <v>729</v>
      </c>
      <c r="B9" s="117">
        <v>3550.88</v>
      </c>
      <c r="E9" s="162"/>
      <c r="F9" s="116"/>
      <c r="G9" s="163"/>
      <c r="H9" s="54"/>
      <c r="I9" s="54"/>
    </row>
    <row r="10" spans="1:9">
      <c r="A10" s="116" t="s">
        <v>730</v>
      </c>
      <c r="B10" s="117">
        <v>3610.51</v>
      </c>
    </row>
    <row r="11" spans="1:9">
      <c r="A11" s="116" t="s">
        <v>731</v>
      </c>
      <c r="B11" s="160">
        <v>3659.84</v>
      </c>
      <c r="D11" s="116"/>
      <c r="E11" s="163"/>
    </row>
    <row r="12" spans="1:9">
      <c r="A12" s="116" t="s">
        <v>732</v>
      </c>
      <c r="B12" s="160">
        <v>3707.1</v>
      </c>
      <c r="D12" s="166" t="s">
        <v>743</v>
      </c>
      <c r="E12" s="163">
        <f>ROUND((B14/((B14+B11)/2)),5)</f>
        <v>1.0117</v>
      </c>
    </row>
    <row r="13" spans="1:9">
      <c r="A13" s="116" t="s">
        <v>733</v>
      </c>
      <c r="B13" s="160">
        <v>3731.43</v>
      </c>
      <c r="D13" s="134" t="s">
        <v>759</v>
      </c>
      <c r="E13" s="163">
        <f>ROUND(($B$14/B11),5)</f>
        <v>1.0236799999999999</v>
      </c>
    </row>
    <row r="14" spans="1:9">
      <c r="A14" s="116" t="s">
        <v>734</v>
      </c>
      <c r="B14" s="160">
        <v>3746.52</v>
      </c>
      <c r="D14" s="64" t="s">
        <v>758</v>
      </c>
      <c r="E14" s="164">
        <f>ROUND(($B$14/B12),5)</f>
        <v>1.0106299999999999</v>
      </c>
    </row>
    <row r="15" spans="1:9">
      <c r="D15" s="64" t="s">
        <v>757</v>
      </c>
      <c r="E15" s="164">
        <f>ROUND(($B$14/B13),5)</f>
        <v>1.00404</v>
      </c>
    </row>
    <row r="16" spans="1:9">
      <c r="D16" s="64" t="s">
        <v>756</v>
      </c>
      <c r="E16" s="164">
        <f>ROUND(($B$14/B14),5)</f>
        <v>1</v>
      </c>
    </row>
    <row r="17" spans="4:5">
      <c r="D17" s="64"/>
      <c r="E17" s="159"/>
    </row>
    <row r="18" spans="4:5">
      <c r="D18" s="64"/>
      <c r="E18" s="159"/>
    </row>
    <row r="19" spans="4:5">
      <c r="D19" s="64"/>
      <c r="E19" s="159"/>
    </row>
    <row r="20" spans="4:5">
      <c r="E20" s="6"/>
    </row>
  </sheetData>
  <sheetProtection sheet="1" objects="1" scenarios="1" formatCells="0" formatColumns="0" formatRows="0" insertColumns="0" insertRows="0" insertHyperlinks="0" deleteColumns="0" deleteRows="0" sort="0" autoFilter="0" pivotTables="0"/>
  <hyperlinks>
    <hyperlink ref="H3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1"/>
  <sheetViews>
    <sheetView workbookViewId="0">
      <selection activeCell="F6" sqref="F6"/>
    </sheetView>
  </sheetViews>
  <sheetFormatPr defaultColWidth="9" defaultRowHeight="14.25"/>
  <cols>
    <col min="1" max="1" width="2.53125" style="17" customWidth="1"/>
    <col min="2" max="2" width="10" style="64" customWidth="1"/>
    <col min="3" max="3" width="13.33203125" style="17" customWidth="1"/>
    <col min="4" max="4" width="17.46484375" style="17" customWidth="1"/>
    <col min="5" max="5" width="11.86328125" style="64" customWidth="1"/>
    <col min="6" max="6" width="13.1328125" style="17" customWidth="1"/>
    <col min="7" max="7" width="15.86328125" style="17" customWidth="1"/>
    <col min="8" max="8" width="10.86328125" style="24" customWidth="1"/>
    <col min="9" max="9" width="13.86328125" style="64" customWidth="1"/>
    <col min="10" max="10" width="12.6640625" style="17" bestFit="1" customWidth="1"/>
    <col min="11" max="11" width="12.1328125" style="64" customWidth="1"/>
    <col min="12" max="12" width="11.1328125" style="64" customWidth="1"/>
    <col min="13" max="13" width="11" style="64" customWidth="1"/>
    <col min="14" max="14" width="9" style="64"/>
    <col min="15" max="15" width="10.1328125" style="64" customWidth="1"/>
    <col min="16" max="16" width="13.86328125" style="64" bestFit="1" customWidth="1"/>
    <col min="17" max="17" width="16.6640625" style="24" customWidth="1"/>
    <col min="18" max="16384" width="9" style="17"/>
  </cols>
  <sheetData>
    <row r="1" spans="2:17" s="10" customFormat="1">
      <c r="B1" s="55"/>
      <c r="E1" s="55"/>
      <c r="H1" s="11"/>
      <c r="I1" s="55"/>
      <c r="K1" s="55"/>
      <c r="L1" s="55"/>
      <c r="M1" s="55"/>
      <c r="N1" s="55"/>
      <c r="O1" s="55"/>
      <c r="Q1" s="46" t="s">
        <v>663</v>
      </c>
    </row>
    <row r="2" spans="2:17" s="10" customFormat="1">
      <c r="B2" s="55"/>
      <c r="E2" s="55"/>
      <c r="H2" s="11"/>
      <c r="I2" s="55"/>
      <c r="K2" s="55"/>
      <c r="L2" s="55"/>
      <c r="M2" s="55"/>
      <c r="N2" s="55"/>
      <c r="O2" s="55"/>
      <c r="Q2" s="47" t="s">
        <v>662</v>
      </c>
    </row>
    <row r="3" spans="2:17" ht="39.4">
      <c r="B3" s="81" t="s">
        <v>143</v>
      </c>
      <c r="C3" s="1" t="s">
        <v>148</v>
      </c>
      <c r="D3" s="1" t="s">
        <v>182</v>
      </c>
      <c r="E3" s="2" t="s">
        <v>144</v>
      </c>
      <c r="F3" s="2" t="s">
        <v>153</v>
      </c>
      <c r="G3" s="7" t="s">
        <v>149</v>
      </c>
      <c r="H3" s="136" t="s">
        <v>156</v>
      </c>
      <c r="I3" s="69" t="s">
        <v>183</v>
      </c>
      <c r="J3" s="7" t="s">
        <v>177</v>
      </c>
      <c r="K3" s="56" t="s">
        <v>152</v>
      </c>
      <c r="L3" s="56" t="s">
        <v>154</v>
      </c>
      <c r="M3" s="56" t="s">
        <v>152</v>
      </c>
      <c r="N3" s="56" t="s">
        <v>154</v>
      </c>
      <c r="O3" s="57" t="s">
        <v>150</v>
      </c>
      <c r="P3" s="58" t="s">
        <v>178</v>
      </c>
      <c r="Q3" s="29" t="s">
        <v>180</v>
      </c>
    </row>
    <row r="4" spans="2:17">
      <c r="B4" s="63"/>
      <c r="C4" s="4" t="s">
        <v>611</v>
      </c>
      <c r="D4" s="4" t="s">
        <v>636</v>
      </c>
      <c r="E4" s="156">
        <v>45169</v>
      </c>
      <c r="F4" s="5">
        <v>45350</v>
      </c>
      <c r="G4" s="6">
        <v>30000</v>
      </c>
      <c r="H4" s="31"/>
      <c r="I4" s="60">
        <f t="shared" ref="I4:I8" si="0">+G4-H4</f>
        <v>30000</v>
      </c>
      <c r="J4" s="6">
        <v>0</v>
      </c>
      <c r="K4" s="59" t="str">
        <f>IF(E4&lt;='yi-üfe-dikey'!$E$5,'yi-üfe-dikey'!$F$4,YEAR(E4)&amp;TEXT((MONTH(E4)),"00"))</f>
        <v>202409</v>
      </c>
      <c r="L4" s="59" t="str">
        <f t="shared" ref="L4:L8" si="1">YEAR(F4)&amp;TEXT((MONTH(F4)),"00")</f>
        <v>202402</v>
      </c>
      <c r="M4" s="60">
        <f>VLOOKUP(K4,'yi-üfe-dikey'!A:B,2,0)</f>
        <v>3659.84</v>
      </c>
      <c r="N4" s="60">
        <f>VLOOKUP(L4,'yi-üfe-dikey'!A:B,2,0)</f>
        <v>3149.03</v>
      </c>
      <c r="O4" s="61">
        <f t="shared" ref="O4:O8" si="2">ROUND(N4/M4,5)</f>
        <v>0.86043000000000003</v>
      </c>
      <c r="P4" s="62">
        <f t="shared" ref="P4:P8" si="3">ROUND(I4*O4,2)</f>
        <v>25812.9</v>
      </c>
      <c r="Q4" s="37">
        <f t="shared" ref="Q4:Q8" si="4">+P4-G4</f>
        <v>-4187.0999999999985</v>
      </c>
    </row>
    <row r="5" spans="2:17">
      <c r="B5" s="63"/>
      <c r="C5" s="4" t="s">
        <v>611</v>
      </c>
      <c r="D5" s="4" t="s">
        <v>637</v>
      </c>
      <c r="E5" s="156">
        <v>45199</v>
      </c>
      <c r="F5" s="5">
        <v>45350</v>
      </c>
      <c r="G5" s="6">
        <v>40000</v>
      </c>
      <c r="H5" s="31"/>
      <c r="I5" s="60">
        <f t="shared" si="0"/>
        <v>40000</v>
      </c>
      <c r="J5" s="6">
        <v>0</v>
      </c>
      <c r="K5" s="59" t="str">
        <f>IF(E5&lt;='yi-üfe-dikey'!$E$5,'yi-üfe-dikey'!$F$4,YEAR(E5)&amp;TEXT((MONTH(E5)),"00"))</f>
        <v>202409</v>
      </c>
      <c r="L5" s="59" t="str">
        <f t="shared" si="1"/>
        <v>202402</v>
      </c>
      <c r="M5" s="60">
        <f>VLOOKUP(K5,'yi-üfe-dikey'!A:B,2,0)</f>
        <v>3659.84</v>
      </c>
      <c r="N5" s="60">
        <f>VLOOKUP(L5,'yi-üfe-dikey'!A:B,2,0)</f>
        <v>3149.03</v>
      </c>
      <c r="O5" s="61">
        <f t="shared" si="2"/>
        <v>0.86043000000000003</v>
      </c>
      <c r="P5" s="62">
        <f t="shared" si="3"/>
        <v>34417.199999999997</v>
      </c>
      <c r="Q5" s="37">
        <f t="shared" si="4"/>
        <v>-5582.8000000000029</v>
      </c>
    </row>
    <row r="6" spans="2:17">
      <c r="B6" s="63"/>
      <c r="C6" s="4" t="s">
        <v>611</v>
      </c>
      <c r="D6" s="4" t="s">
        <v>638</v>
      </c>
      <c r="E6" s="156">
        <v>45230</v>
      </c>
      <c r="F6" s="5">
        <v>45350</v>
      </c>
      <c r="G6" s="6">
        <v>20000</v>
      </c>
      <c r="H6" s="31"/>
      <c r="I6" s="60">
        <f t="shared" si="0"/>
        <v>20000</v>
      </c>
      <c r="J6" s="6">
        <v>0</v>
      </c>
      <c r="K6" s="59" t="str">
        <f>IF(E6&lt;='yi-üfe-dikey'!$E$5,'yi-üfe-dikey'!$F$4,YEAR(E6)&amp;TEXT((MONTH(E6)),"00"))</f>
        <v>202409</v>
      </c>
      <c r="L6" s="59" t="str">
        <f t="shared" si="1"/>
        <v>202402</v>
      </c>
      <c r="M6" s="60">
        <f>VLOOKUP(K6,'yi-üfe-dikey'!A:B,2,0)</f>
        <v>3659.84</v>
      </c>
      <c r="N6" s="60">
        <f>VLOOKUP(L6,'yi-üfe-dikey'!A:B,2,0)</f>
        <v>3149.03</v>
      </c>
      <c r="O6" s="61">
        <f t="shared" si="2"/>
        <v>0.86043000000000003</v>
      </c>
      <c r="P6" s="62">
        <f t="shared" si="3"/>
        <v>17208.599999999999</v>
      </c>
      <c r="Q6" s="37">
        <f t="shared" si="4"/>
        <v>-2791.4000000000015</v>
      </c>
    </row>
    <row r="7" spans="2:17">
      <c r="B7" s="63"/>
      <c r="C7" s="4" t="s">
        <v>611</v>
      </c>
      <c r="D7" s="4" t="s">
        <v>639</v>
      </c>
      <c r="E7" s="156">
        <v>45260</v>
      </c>
      <c r="F7" s="5">
        <v>45350</v>
      </c>
      <c r="G7" s="6">
        <v>50000</v>
      </c>
      <c r="H7" s="31"/>
      <c r="I7" s="60">
        <f t="shared" si="0"/>
        <v>50000</v>
      </c>
      <c r="J7" s="6">
        <v>0</v>
      </c>
      <c r="K7" s="59" t="str">
        <f>IF(E7&lt;='yi-üfe-dikey'!$E$5,'yi-üfe-dikey'!$F$4,YEAR(E7)&amp;TEXT((MONTH(E7)),"00"))</f>
        <v>202409</v>
      </c>
      <c r="L7" s="59" t="str">
        <f t="shared" si="1"/>
        <v>202402</v>
      </c>
      <c r="M7" s="60">
        <f>VLOOKUP(K7,'yi-üfe-dikey'!A:B,2,0)</f>
        <v>3659.84</v>
      </c>
      <c r="N7" s="60">
        <f>VLOOKUP(L7,'yi-üfe-dikey'!A:B,2,0)</f>
        <v>3149.03</v>
      </c>
      <c r="O7" s="61">
        <f t="shared" si="2"/>
        <v>0.86043000000000003</v>
      </c>
      <c r="P7" s="62">
        <f t="shared" si="3"/>
        <v>43021.5</v>
      </c>
      <c r="Q7" s="37">
        <f t="shared" si="4"/>
        <v>-6978.5</v>
      </c>
    </row>
    <row r="8" spans="2:17">
      <c r="B8" s="63"/>
      <c r="C8" s="4" t="s">
        <v>611</v>
      </c>
      <c r="D8" s="4" t="s">
        <v>640</v>
      </c>
      <c r="E8" s="156">
        <v>45291</v>
      </c>
      <c r="F8" s="5">
        <v>45350</v>
      </c>
      <c r="G8" s="6">
        <v>80000</v>
      </c>
      <c r="H8" s="31"/>
      <c r="I8" s="60">
        <f t="shared" si="0"/>
        <v>80000</v>
      </c>
      <c r="J8" s="6">
        <v>0</v>
      </c>
      <c r="K8" s="59" t="str">
        <f>IF(E8&lt;='yi-üfe-dikey'!$E$5,'yi-üfe-dikey'!$F$4,YEAR(E8)&amp;TEXT((MONTH(E8)),"00"))</f>
        <v>202409</v>
      </c>
      <c r="L8" s="59" t="str">
        <f t="shared" si="1"/>
        <v>202402</v>
      </c>
      <c r="M8" s="60">
        <f>VLOOKUP(K8,'yi-üfe-dikey'!A:B,2,0)</f>
        <v>3659.84</v>
      </c>
      <c r="N8" s="60">
        <f>VLOOKUP(L8,'yi-üfe-dikey'!A:B,2,0)</f>
        <v>3149.03</v>
      </c>
      <c r="O8" s="61">
        <f t="shared" si="2"/>
        <v>0.86043000000000003</v>
      </c>
      <c r="P8" s="62">
        <f t="shared" si="3"/>
        <v>68834.399999999994</v>
      </c>
      <c r="Q8" s="37">
        <f t="shared" si="4"/>
        <v>-11165.600000000006</v>
      </c>
    </row>
    <row r="9" spans="2:17">
      <c r="B9" s="63"/>
      <c r="C9" s="4" t="s">
        <v>611</v>
      </c>
      <c r="D9" s="4" t="s">
        <v>641</v>
      </c>
      <c r="E9" s="156">
        <v>45322</v>
      </c>
      <c r="F9" s="5">
        <v>45350</v>
      </c>
      <c r="G9" s="6">
        <v>30000</v>
      </c>
      <c r="H9" s="31"/>
      <c r="I9" s="60">
        <f t="shared" ref="I9:I10" si="5">+G9-H9</f>
        <v>30000</v>
      </c>
      <c r="J9" s="6">
        <v>0</v>
      </c>
      <c r="K9" s="59" t="str">
        <f>IF(E9&lt;='yi-üfe-dikey'!$E$5,'yi-üfe-dikey'!$F$4,YEAR(E9)&amp;TEXT((MONTH(E9)),"00"))</f>
        <v>202409</v>
      </c>
      <c r="L9" s="59" t="str">
        <f t="shared" ref="L9:L10" si="6">YEAR(F9)&amp;TEXT((MONTH(F9)),"00")</f>
        <v>202402</v>
      </c>
      <c r="M9" s="60">
        <f>VLOOKUP(K9,'yi-üfe-dikey'!A:B,2,0)</f>
        <v>3659.84</v>
      </c>
      <c r="N9" s="60">
        <f>VLOOKUP(L9,'yi-üfe-dikey'!A:B,2,0)</f>
        <v>3149.03</v>
      </c>
      <c r="O9" s="61">
        <f t="shared" ref="O9:O10" si="7">ROUND(N9/M9,5)</f>
        <v>0.86043000000000003</v>
      </c>
      <c r="P9" s="62">
        <f t="shared" ref="P9:P10" si="8">ROUND(I9*O9,2)</f>
        <v>25812.9</v>
      </c>
      <c r="Q9" s="37">
        <f t="shared" ref="Q9:Q10" si="9">+P9-G9</f>
        <v>-4187.0999999999985</v>
      </c>
    </row>
    <row r="10" spans="2:17">
      <c r="B10" s="63"/>
      <c r="C10" s="4" t="s">
        <v>611</v>
      </c>
      <c r="D10" s="4" t="s">
        <v>642</v>
      </c>
      <c r="E10" s="156">
        <v>45350</v>
      </c>
      <c r="F10" s="5">
        <v>45350</v>
      </c>
      <c r="G10" s="6">
        <v>50000</v>
      </c>
      <c r="H10" s="31"/>
      <c r="I10" s="60">
        <f t="shared" si="5"/>
        <v>50000</v>
      </c>
      <c r="J10" s="6">
        <v>0</v>
      </c>
      <c r="K10" s="59" t="str">
        <f>IF(E10&lt;='yi-üfe-dikey'!$E$5,'yi-üfe-dikey'!$F$4,YEAR(E10)&amp;TEXT((MONTH(E10)),"00"))</f>
        <v>202409</v>
      </c>
      <c r="L10" s="59" t="str">
        <f t="shared" si="6"/>
        <v>202402</v>
      </c>
      <c r="M10" s="60">
        <f>VLOOKUP(K10,'yi-üfe-dikey'!A:B,2,0)</f>
        <v>3659.84</v>
      </c>
      <c r="N10" s="60">
        <f>VLOOKUP(L10,'yi-üfe-dikey'!A:B,2,0)</f>
        <v>3149.03</v>
      </c>
      <c r="O10" s="61">
        <f t="shared" si="7"/>
        <v>0.86043000000000003</v>
      </c>
      <c r="P10" s="62">
        <f t="shared" si="8"/>
        <v>43021.5</v>
      </c>
      <c r="Q10" s="37">
        <f t="shared" si="9"/>
        <v>-6978.5</v>
      </c>
    </row>
    <row r="11" spans="2:17">
      <c r="B11" s="63"/>
      <c r="C11" s="4"/>
      <c r="E11" s="68"/>
      <c r="F11" s="5"/>
      <c r="G11" s="25">
        <f>SUM(G4:G10)</f>
        <v>300000</v>
      </c>
      <c r="H11" s="31"/>
      <c r="I11" s="70">
        <f>SUM(I4:I10)</f>
        <v>300000</v>
      </c>
      <c r="J11" s="6"/>
      <c r="K11" s="59"/>
      <c r="L11" s="59"/>
      <c r="M11" s="60"/>
      <c r="N11" s="60"/>
      <c r="O11" s="61"/>
      <c r="P11" s="70">
        <f>SUM(P4:P10)</f>
        <v>258128.99999999997</v>
      </c>
      <c r="Q11" s="34">
        <f>SUM(Q4:Q10)</f>
        <v>-41871.000000000007</v>
      </c>
    </row>
    <row r="12" spans="2:17">
      <c r="B12" s="63"/>
      <c r="C12" s="4"/>
      <c r="E12" s="68"/>
      <c r="F12" s="5"/>
      <c r="G12" s="6"/>
      <c r="H12" s="31"/>
      <c r="I12" s="60"/>
      <c r="J12" s="6"/>
      <c r="K12" s="59"/>
      <c r="L12" s="59"/>
      <c r="M12" s="60"/>
      <c r="N12" s="60"/>
      <c r="O12" s="61"/>
      <c r="P12" s="62"/>
      <c r="Q12" s="37"/>
    </row>
    <row r="13" spans="2:17" ht="39.4">
      <c r="B13" s="81" t="s">
        <v>143</v>
      </c>
      <c r="C13" s="1" t="s">
        <v>148</v>
      </c>
      <c r="D13" s="1" t="s">
        <v>182</v>
      </c>
      <c r="E13" s="2" t="s">
        <v>144</v>
      </c>
      <c r="F13" s="2" t="s">
        <v>153</v>
      </c>
      <c r="G13" s="7" t="s">
        <v>149</v>
      </c>
      <c r="H13" s="136" t="s">
        <v>156</v>
      </c>
      <c r="I13" s="69" t="s">
        <v>183</v>
      </c>
      <c r="J13" s="7" t="s">
        <v>177</v>
      </c>
      <c r="K13" s="56" t="s">
        <v>152</v>
      </c>
      <c r="L13" s="56" t="s">
        <v>154</v>
      </c>
      <c r="M13" s="56" t="s">
        <v>152</v>
      </c>
      <c r="N13" s="56" t="s">
        <v>154</v>
      </c>
      <c r="O13" s="57" t="s">
        <v>150</v>
      </c>
      <c r="P13" s="58" t="s">
        <v>178</v>
      </c>
      <c r="Q13" s="29" t="s">
        <v>180</v>
      </c>
    </row>
    <row r="14" spans="2:17">
      <c r="B14" s="63" t="str">
        <f t="shared" ref="B14:B20" si="10">LEFT(C14,3)</f>
        <v>258</v>
      </c>
      <c r="C14" s="4" t="s">
        <v>611</v>
      </c>
      <c r="D14" s="4" t="s">
        <v>636</v>
      </c>
      <c r="E14" s="156">
        <v>45169</v>
      </c>
      <c r="F14" s="5">
        <v>45565</v>
      </c>
      <c r="G14" s="6">
        <v>30000</v>
      </c>
      <c r="H14" s="31"/>
      <c r="I14" s="60">
        <f t="shared" ref="I14:I20" si="11">+G14-H14</f>
        <v>30000</v>
      </c>
      <c r="J14" s="6">
        <v>0</v>
      </c>
      <c r="K14" s="59" t="str">
        <f>IF(E14&lt;='yi-üfe-dikey'!$E$5,'yi-üfe-dikey'!$F$4,YEAR(E14)&amp;TEXT((MONTH(E14)),"00"))</f>
        <v>202409</v>
      </c>
      <c r="L14" s="59" t="str">
        <f t="shared" ref="L14:L20" si="12">YEAR(F14)&amp;TEXT((MONTH(F14)),"00")</f>
        <v>202409</v>
      </c>
      <c r="M14" s="60">
        <f>VLOOKUP(K14,'yi-üfe-dikey'!A:B,2,0)</f>
        <v>3659.84</v>
      </c>
      <c r="N14" s="60">
        <f>VLOOKUP(L14,'yi-üfe-dikey'!A:B,2,0)</f>
        <v>3659.84</v>
      </c>
      <c r="O14" s="61">
        <f t="shared" ref="O14:O20" si="13">ROUND(N14/M14,5)</f>
        <v>1</v>
      </c>
      <c r="P14" s="62">
        <f t="shared" ref="P14:P20" si="14">ROUND(I14*O14,2)</f>
        <v>30000</v>
      </c>
      <c r="Q14" s="37">
        <f t="shared" ref="Q14:Q20" si="15">+P14-G14</f>
        <v>0</v>
      </c>
    </row>
    <row r="15" spans="2:17">
      <c r="B15" s="63" t="str">
        <f t="shared" si="10"/>
        <v>258</v>
      </c>
      <c r="C15" s="4" t="s">
        <v>611</v>
      </c>
      <c r="D15" s="4" t="s">
        <v>637</v>
      </c>
      <c r="E15" s="156">
        <v>45199</v>
      </c>
      <c r="F15" s="5">
        <v>45565</v>
      </c>
      <c r="G15" s="6">
        <v>40000</v>
      </c>
      <c r="H15" s="31"/>
      <c r="I15" s="60">
        <f t="shared" si="11"/>
        <v>40000</v>
      </c>
      <c r="J15" s="6">
        <v>0</v>
      </c>
      <c r="K15" s="59" t="str">
        <f>IF(E15&lt;='yi-üfe-dikey'!$E$5,'yi-üfe-dikey'!$F$4,YEAR(E15)&amp;TEXT((MONTH(E15)),"00"))</f>
        <v>202409</v>
      </c>
      <c r="L15" s="59" t="str">
        <f t="shared" si="12"/>
        <v>202409</v>
      </c>
      <c r="M15" s="60">
        <f>VLOOKUP(K15,'yi-üfe-dikey'!A:B,2,0)</f>
        <v>3659.84</v>
      </c>
      <c r="N15" s="60">
        <f>VLOOKUP(L15,'yi-üfe-dikey'!A:B,2,0)</f>
        <v>3659.84</v>
      </c>
      <c r="O15" s="61">
        <f t="shared" si="13"/>
        <v>1</v>
      </c>
      <c r="P15" s="62">
        <f t="shared" si="14"/>
        <v>40000</v>
      </c>
      <c r="Q15" s="37">
        <f t="shared" si="15"/>
        <v>0</v>
      </c>
    </row>
    <row r="16" spans="2:17">
      <c r="B16" s="63" t="str">
        <f t="shared" si="10"/>
        <v>258</v>
      </c>
      <c r="C16" s="4" t="s">
        <v>611</v>
      </c>
      <c r="D16" s="4" t="s">
        <v>638</v>
      </c>
      <c r="E16" s="156">
        <v>45230</v>
      </c>
      <c r="F16" s="5">
        <v>45565</v>
      </c>
      <c r="G16" s="6">
        <v>20000</v>
      </c>
      <c r="H16" s="31"/>
      <c r="I16" s="60">
        <f t="shared" si="11"/>
        <v>20000</v>
      </c>
      <c r="J16" s="6">
        <v>0</v>
      </c>
      <c r="K16" s="59" t="str">
        <f>IF(E16&lt;='yi-üfe-dikey'!$E$5,'yi-üfe-dikey'!$F$4,YEAR(E16)&amp;TEXT((MONTH(E16)),"00"))</f>
        <v>202409</v>
      </c>
      <c r="L16" s="59" t="str">
        <f t="shared" si="12"/>
        <v>202409</v>
      </c>
      <c r="M16" s="60">
        <f>VLOOKUP(K16,'yi-üfe-dikey'!A:B,2,0)</f>
        <v>3659.84</v>
      </c>
      <c r="N16" s="60">
        <f>VLOOKUP(L16,'yi-üfe-dikey'!A:B,2,0)</f>
        <v>3659.84</v>
      </c>
      <c r="O16" s="61">
        <f t="shared" si="13"/>
        <v>1</v>
      </c>
      <c r="P16" s="62">
        <f t="shared" si="14"/>
        <v>20000</v>
      </c>
      <c r="Q16" s="37">
        <f t="shared" si="15"/>
        <v>0</v>
      </c>
    </row>
    <row r="17" spans="2:17">
      <c r="B17" s="63" t="str">
        <f t="shared" si="10"/>
        <v>258</v>
      </c>
      <c r="C17" s="4" t="s">
        <v>611</v>
      </c>
      <c r="D17" s="4" t="s">
        <v>639</v>
      </c>
      <c r="E17" s="156">
        <v>45260</v>
      </c>
      <c r="F17" s="5">
        <v>45565</v>
      </c>
      <c r="G17" s="6">
        <v>50000</v>
      </c>
      <c r="H17" s="31"/>
      <c r="I17" s="60">
        <f t="shared" si="11"/>
        <v>50000</v>
      </c>
      <c r="J17" s="6">
        <v>0</v>
      </c>
      <c r="K17" s="59" t="str">
        <f>IF(E17&lt;='yi-üfe-dikey'!$E$5,'yi-üfe-dikey'!$F$4,YEAR(E17)&amp;TEXT((MONTH(E17)),"00"))</f>
        <v>202409</v>
      </c>
      <c r="L17" s="59" t="str">
        <f t="shared" si="12"/>
        <v>202409</v>
      </c>
      <c r="M17" s="60">
        <f>VLOOKUP(K17,'yi-üfe-dikey'!A:B,2,0)</f>
        <v>3659.84</v>
      </c>
      <c r="N17" s="60">
        <f>VLOOKUP(L17,'yi-üfe-dikey'!A:B,2,0)</f>
        <v>3659.84</v>
      </c>
      <c r="O17" s="61">
        <f t="shared" si="13"/>
        <v>1</v>
      </c>
      <c r="P17" s="62">
        <f t="shared" si="14"/>
        <v>50000</v>
      </c>
      <c r="Q17" s="37">
        <f t="shared" si="15"/>
        <v>0</v>
      </c>
    </row>
    <row r="18" spans="2:17">
      <c r="B18" s="63" t="str">
        <f t="shared" si="10"/>
        <v>258</v>
      </c>
      <c r="C18" s="4" t="s">
        <v>611</v>
      </c>
      <c r="D18" s="4" t="s">
        <v>640</v>
      </c>
      <c r="E18" s="156">
        <v>45291</v>
      </c>
      <c r="F18" s="5">
        <v>45565</v>
      </c>
      <c r="G18" s="6">
        <v>80000</v>
      </c>
      <c r="H18" s="31"/>
      <c r="I18" s="60">
        <f t="shared" si="11"/>
        <v>80000</v>
      </c>
      <c r="J18" s="6">
        <v>0</v>
      </c>
      <c r="K18" s="59" t="str">
        <f>IF(E18&lt;='yi-üfe-dikey'!$E$5,'yi-üfe-dikey'!$F$4,YEAR(E18)&amp;TEXT((MONTH(E18)),"00"))</f>
        <v>202409</v>
      </c>
      <c r="L18" s="59" t="str">
        <f t="shared" si="12"/>
        <v>202409</v>
      </c>
      <c r="M18" s="60">
        <f>VLOOKUP(K18,'yi-üfe-dikey'!A:B,2,0)</f>
        <v>3659.84</v>
      </c>
      <c r="N18" s="60">
        <f>VLOOKUP(L18,'yi-üfe-dikey'!A:B,2,0)</f>
        <v>3659.84</v>
      </c>
      <c r="O18" s="61">
        <f t="shared" si="13"/>
        <v>1</v>
      </c>
      <c r="P18" s="62">
        <f t="shared" si="14"/>
        <v>80000</v>
      </c>
      <c r="Q18" s="37">
        <f t="shared" si="15"/>
        <v>0</v>
      </c>
    </row>
    <row r="19" spans="2:17">
      <c r="B19" s="63" t="str">
        <f t="shared" si="10"/>
        <v>258</v>
      </c>
      <c r="C19" s="4" t="s">
        <v>611</v>
      </c>
      <c r="D19" s="4" t="s">
        <v>641</v>
      </c>
      <c r="E19" s="156">
        <v>45322</v>
      </c>
      <c r="F19" s="5">
        <v>45565</v>
      </c>
      <c r="G19" s="6">
        <v>30000</v>
      </c>
      <c r="H19" s="31"/>
      <c r="I19" s="60">
        <f t="shared" si="11"/>
        <v>30000</v>
      </c>
      <c r="J19" s="6">
        <v>0</v>
      </c>
      <c r="K19" s="59" t="str">
        <f>IF(E19&lt;='yi-üfe-dikey'!$E$5,'yi-üfe-dikey'!$F$4,YEAR(E19)&amp;TEXT((MONTH(E19)),"00"))</f>
        <v>202409</v>
      </c>
      <c r="L19" s="59" t="str">
        <f t="shared" si="12"/>
        <v>202409</v>
      </c>
      <c r="M19" s="60">
        <f>VLOOKUP(K19,'yi-üfe-dikey'!A:B,2,0)</f>
        <v>3659.84</v>
      </c>
      <c r="N19" s="60">
        <f>VLOOKUP(L19,'yi-üfe-dikey'!A:B,2,0)</f>
        <v>3659.84</v>
      </c>
      <c r="O19" s="61">
        <f t="shared" si="13"/>
        <v>1</v>
      </c>
      <c r="P19" s="62">
        <f t="shared" si="14"/>
        <v>30000</v>
      </c>
      <c r="Q19" s="37">
        <f t="shared" si="15"/>
        <v>0</v>
      </c>
    </row>
    <row r="20" spans="2:17">
      <c r="B20" s="63" t="str">
        <f t="shared" si="10"/>
        <v>258</v>
      </c>
      <c r="C20" s="4" t="s">
        <v>611</v>
      </c>
      <c r="D20" s="4" t="s">
        <v>642</v>
      </c>
      <c r="E20" s="156">
        <v>45350</v>
      </c>
      <c r="F20" s="5">
        <v>45565</v>
      </c>
      <c r="G20" s="6">
        <v>50000</v>
      </c>
      <c r="H20" s="31"/>
      <c r="I20" s="60">
        <f t="shared" si="11"/>
        <v>50000</v>
      </c>
      <c r="J20" s="6">
        <v>0</v>
      </c>
      <c r="K20" s="59" t="str">
        <f>IF(E20&lt;='yi-üfe-dikey'!$E$5,'yi-üfe-dikey'!$F$4,YEAR(E20)&amp;TEXT((MONTH(E20)),"00"))</f>
        <v>202409</v>
      </c>
      <c r="L20" s="59" t="str">
        <f t="shared" si="12"/>
        <v>202409</v>
      </c>
      <c r="M20" s="60">
        <f>VLOOKUP(K20,'yi-üfe-dikey'!A:B,2,0)</f>
        <v>3659.84</v>
      </c>
      <c r="N20" s="60">
        <f>VLOOKUP(L20,'yi-üfe-dikey'!A:B,2,0)</f>
        <v>3659.84</v>
      </c>
      <c r="O20" s="61">
        <f t="shared" si="13"/>
        <v>1</v>
      </c>
      <c r="P20" s="62">
        <f t="shared" si="14"/>
        <v>50000</v>
      </c>
      <c r="Q20" s="37">
        <f t="shared" si="15"/>
        <v>0</v>
      </c>
    </row>
    <row r="21" spans="2:17">
      <c r="B21" s="63"/>
      <c r="C21" s="4"/>
      <c r="E21" s="68"/>
      <c r="F21" s="5"/>
      <c r="G21" s="25">
        <f>SUM(G14:G20)</f>
        <v>300000</v>
      </c>
      <c r="H21" s="31"/>
      <c r="I21" s="70">
        <f>SUM(I14:I20)</f>
        <v>300000</v>
      </c>
      <c r="J21" s="6"/>
      <c r="K21" s="59"/>
      <c r="L21" s="59"/>
      <c r="M21" s="60"/>
      <c r="N21" s="60"/>
      <c r="O21" s="61"/>
      <c r="P21" s="70">
        <f>SUM(P14:P20)</f>
        <v>300000</v>
      </c>
      <c r="Q21" s="34">
        <f>SUM(Q14:Q20)</f>
        <v>0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S15"/>
  <hyperlinks>
    <hyperlink ref="Q2" r:id="rId1"/>
  </hyperlinks>
  <pageMargins left="0.70866141732283472" right="0.70866141732283472" top="0.74803149606299213" bottom="0.74803149606299213" header="0.31496062992125984" footer="0.31496062992125984"/>
  <pageSetup paperSize="9" scale="50" fitToHeight="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"/>
  <sheetViews>
    <sheetView workbookViewId="0">
      <pane ySplit="3" topLeftCell="A4" activePane="bottomLeft" state="frozen"/>
      <selection pane="bottomLeft" activeCell="H15" sqref="H15"/>
    </sheetView>
  </sheetViews>
  <sheetFormatPr defaultColWidth="9" defaultRowHeight="14.25"/>
  <cols>
    <col min="1" max="2" width="5.6640625" style="64" customWidth="1"/>
    <col min="3" max="3" width="13.33203125" style="17" customWidth="1"/>
    <col min="4" max="4" width="18.6640625" style="17" customWidth="1"/>
    <col min="5" max="5" width="15.6640625" style="64" customWidth="1"/>
    <col min="6" max="6" width="13.1328125" style="64" customWidth="1"/>
    <col min="7" max="7" width="15.86328125" style="17" customWidth="1"/>
    <col min="8" max="8" width="15.86328125" style="24" customWidth="1"/>
    <col min="9" max="9" width="10.86328125" style="17" customWidth="1"/>
    <col min="10" max="10" width="13.86328125" style="64" customWidth="1"/>
    <col min="11" max="11" width="12.6640625" style="17" bestFit="1" customWidth="1"/>
    <col min="12" max="12" width="12.1328125" style="64" customWidth="1"/>
    <col min="13" max="13" width="11.1328125" style="64" customWidth="1"/>
    <col min="14" max="14" width="11" style="64" customWidth="1"/>
    <col min="15" max="15" width="9" style="64"/>
    <col min="16" max="16" width="10.1328125" style="64" customWidth="1"/>
    <col min="17" max="17" width="13.86328125" style="64" bestFit="1" customWidth="1"/>
    <col min="18" max="18" width="13.86328125" style="24" bestFit="1" customWidth="1"/>
    <col min="19" max="19" width="14.46484375" style="64" customWidth="1"/>
    <col min="20" max="20" width="16.6640625" style="17" customWidth="1"/>
    <col min="21" max="16384" width="9" style="17"/>
  </cols>
  <sheetData>
    <row r="1" spans="1:20" s="10" customFormat="1">
      <c r="A1" s="55"/>
      <c r="B1" s="55"/>
      <c r="E1" s="55"/>
      <c r="F1" s="55"/>
      <c r="H1" s="11"/>
      <c r="J1" s="55"/>
      <c r="L1" s="55"/>
      <c r="M1" s="55"/>
      <c r="N1" s="55"/>
      <c r="O1" s="55"/>
      <c r="P1" s="55"/>
      <c r="Q1" s="55"/>
      <c r="R1" s="11"/>
      <c r="S1" s="55"/>
      <c r="T1" s="46" t="s">
        <v>663</v>
      </c>
    </row>
    <row r="2" spans="1:20" s="10" customFormat="1">
      <c r="A2" s="55"/>
      <c r="B2" s="55"/>
      <c r="E2" s="55"/>
      <c r="F2" s="55"/>
      <c r="H2" s="11"/>
      <c r="J2" s="55"/>
      <c r="L2" s="55"/>
      <c r="M2" s="55"/>
      <c r="N2" s="55"/>
      <c r="O2" s="55"/>
      <c r="P2" s="55"/>
      <c r="Q2" s="55"/>
      <c r="R2" s="11"/>
      <c r="S2" s="55"/>
      <c r="T2" s="47" t="s">
        <v>662</v>
      </c>
    </row>
    <row r="3" spans="1:20" ht="39.4">
      <c r="B3" s="81" t="s">
        <v>143</v>
      </c>
      <c r="C3" s="1" t="s">
        <v>148</v>
      </c>
      <c r="D3" s="1" t="s">
        <v>182</v>
      </c>
      <c r="E3" s="2" t="s">
        <v>144</v>
      </c>
      <c r="F3" s="67" t="s">
        <v>153</v>
      </c>
      <c r="G3" s="7" t="s">
        <v>654</v>
      </c>
      <c r="H3" s="88" t="s">
        <v>673</v>
      </c>
      <c r="I3" s="2" t="s">
        <v>156</v>
      </c>
      <c r="J3" s="69" t="s">
        <v>183</v>
      </c>
      <c r="K3" s="7" t="s">
        <v>177</v>
      </c>
      <c r="L3" s="56" t="s">
        <v>152</v>
      </c>
      <c r="M3" s="56" t="s">
        <v>154</v>
      </c>
      <c r="N3" s="56" t="s">
        <v>152</v>
      </c>
      <c r="O3" s="56" t="s">
        <v>154</v>
      </c>
      <c r="P3" s="57" t="s">
        <v>150</v>
      </c>
      <c r="Q3" s="58" t="s">
        <v>178</v>
      </c>
      <c r="R3" s="29" t="s">
        <v>180</v>
      </c>
      <c r="S3" s="58" t="s">
        <v>179</v>
      </c>
      <c r="T3" s="29" t="s">
        <v>181</v>
      </c>
    </row>
    <row r="4" spans="1:20">
      <c r="A4" s="64" t="str">
        <f>LEFT(B4,2)</f>
        <v>25</v>
      </c>
      <c r="B4" s="63" t="str">
        <f>LEFT(C4,3)</f>
        <v>253</v>
      </c>
      <c r="C4" s="4" t="s">
        <v>172</v>
      </c>
      <c r="D4" s="4"/>
      <c r="E4" s="5">
        <v>44395</v>
      </c>
      <c r="F4" s="65">
        <f>'yi-üfe-dikey'!$E$6</f>
        <v>45657</v>
      </c>
      <c r="G4" s="6">
        <v>100000</v>
      </c>
      <c r="H4" s="31"/>
      <c r="I4" s="6"/>
      <c r="J4" s="60">
        <f>+G4-I4+H4</f>
        <v>100000</v>
      </c>
      <c r="K4" s="6">
        <v>5000</v>
      </c>
      <c r="L4" s="59" t="str">
        <f>IF(E4&lt;='yi-üfe-dikey'!$E$5,'yi-üfe-dikey'!$F$4,YEAR(E4)&amp;TEXT((MONTH(E4)),"00"))</f>
        <v>202409</v>
      </c>
      <c r="M4" s="59" t="str">
        <f>YEAR(F4)&amp;TEXT((MONTH(F4)),"00")</f>
        <v>202412</v>
      </c>
      <c r="N4" s="60">
        <f>VLOOKUP(L4,'yi-üfe-dikey'!A:B,2,0)</f>
        <v>3659.84</v>
      </c>
      <c r="O4" s="60">
        <f>VLOOKUP(M4,'yi-üfe-dikey'!A:B,2,0)</f>
        <v>3746.52</v>
      </c>
      <c r="P4" s="61">
        <f>ROUND(O4/N4,5)</f>
        <v>1.0236799999999999</v>
      </c>
      <c r="Q4" s="62">
        <f t="shared" ref="Q4" si="0">ROUND(J4*P4,2)</f>
        <v>102368</v>
      </c>
      <c r="R4" s="37">
        <f t="shared" ref="R4:R23" si="1">+Q4-G4</f>
        <v>2368</v>
      </c>
      <c r="S4" s="60">
        <f t="shared" ref="S4:S23" si="2">ROUND((Q4/G4)*K4,2)</f>
        <v>5118.3999999999996</v>
      </c>
      <c r="T4" s="31">
        <f>S4-K4</f>
        <v>118.39999999999964</v>
      </c>
    </row>
    <row r="5" spans="1:20">
      <c r="A5" s="64" t="str">
        <f t="shared" ref="A5:A23" si="3">LEFT(B5,2)</f>
        <v>25</v>
      </c>
      <c r="B5" s="63" t="str">
        <f t="shared" ref="B5:B23" si="4">LEFT(C5,3)</f>
        <v>253</v>
      </c>
      <c r="C5" s="4" t="s">
        <v>172</v>
      </c>
      <c r="D5" s="4"/>
      <c r="E5" s="5">
        <v>45383</v>
      </c>
      <c r="F5" s="65">
        <f>'yi-üfe-dikey'!$E$6</f>
        <v>45657</v>
      </c>
      <c r="G5" s="6">
        <v>100000</v>
      </c>
      <c r="H5" s="31"/>
      <c r="I5" s="6"/>
      <c r="J5" s="60">
        <f t="shared" ref="J5:J23" si="5">+G5-I5+H5</f>
        <v>100000</v>
      </c>
      <c r="K5" s="6">
        <v>5000</v>
      </c>
      <c r="L5" s="59" t="str">
        <f>IF(E5&lt;='yi-üfe-dikey'!$E$5,'yi-üfe-dikey'!$F$4,YEAR(E5)&amp;TEXT((MONTH(E5)),"00"))</f>
        <v>202409</v>
      </c>
      <c r="M5" s="59" t="str">
        <f t="shared" ref="M5:M23" si="6">YEAR(F5)&amp;TEXT((MONTH(F5)),"00")</f>
        <v>202412</v>
      </c>
      <c r="N5" s="60">
        <f>VLOOKUP(L5,'yi-üfe-dikey'!A:B,2,0)</f>
        <v>3659.84</v>
      </c>
      <c r="O5" s="60">
        <f>VLOOKUP(M5,'yi-üfe-dikey'!A:B,2,0)</f>
        <v>3746.52</v>
      </c>
      <c r="P5" s="61">
        <f t="shared" ref="P5:P23" si="7">ROUND(O5/N5,5)</f>
        <v>1.0236799999999999</v>
      </c>
      <c r="Q5" s="62">
        <f t="shared" ref="Q5:Q23" si="8">ROUND(J5*P5,2)</f>
        <v>102368</v>
      </c>
      <c r="R5" s="37">
        <f t="shared" si="1"/>
        <v>2368</v>
      </c>
      <c r="S5" s="60">
        <f t="shared" si="2"/>
        <v>5118.3999999999996</v>
      </c>
      <c r="T5" s="31">
        <f t="shared" ref="T5:T23" si="9">S5-K5</f>
        <v>118.39999999999964</v>
      </c>
    </row>
    <row r="6" spans="1:20">
      <c r="A6" s="64" t="str">
        <f t="shared" si="3"/>
        <v>25</v>
      </c>
      <c r="B6" s="63" t="str">
        <f t="shared" si="4"/>
        <v>253</v>
      </c>
      <c r="C6" s="4" t="s">
        <v>172</v>
      </c>
      <c r="D6" s="4"/>
      <c r="E6" s="5">
        <v>44985</v>
      </c>
      <c r="F6" s="65">
        <f>'yi-üfe-dikey'!$E$6</f>
        <v>45657</v>
      </c>
      <c r="G6" s="6">
        <v>300000</v>
      </c>
      <c r="H6" s="31">
        <v>18782.69999999999</v>
      </c>
      <c r="I6" s="6"/>
      <c r="J6" s="60">
        <f t="shared" si="5"/>
        <v>318782.7</v>
      </c>
      <c r="K6" s="6">
        <v>30000</v>
      </c>
      <c r="L6" s="59" t="str">
        <f>IF(E6&lt;='yi-üfe-dikey'!$E$5,'yi-üfe-dikey'!$F$4,YEAR(E6)&amp;TEXT((MONTH(E6)),"00"))</f>
        <v>202409</v>
      </c>
      <c r="M6" s="59" t="str">
        <f t="shared" si="6"/>
        <v>202412</v>
      </c>
      <c r="N6" s="60">
        <f>VLOOKUP(L6,'yi-üfe-dikey'!A:B,2,0)</f>
        <v>3659.84</v>
      </c>
      <c r="O6" s="60">
        <f>VLOOKUP(M6,'yi-üfe-dikey'!A:B,2,0)</f>
        <v>3746.52</v>
      </c>
      <c r="P6" s="61">
        <f t="shared" si="7"/>
        <v>1.0236799999999999</v>
      </c>
      <c r="Q6" s="62">
        <f t="shared" si="8"/>
        <v>326331.46999999997</v>
      </c>
      <c r="R6" s="37">
        <f t="shared" si="1"/>
        <v>26331.469999999972</v>
      </c>
      <c r="S6" s="60">
        <f t="shared" si="2"/>
        <v>32633.15</v>
      </c>
      <c r="T6" s="31">
        <f t="shared" si="9"/>
        <v>2633.1500000000015</v>
      </c>
    </row>
    <row r="7" spans="1:20">
      <c r="A7" s="64" t="str">
        <f t="shared" si="3"/>
        <v>25</v>
      </c>
      <c r="B7" s="63" t="str">
        <f t="shared" si="4"/>
        <v>254</v>
      </c>
      <c r="C7" s="4" t="s">
        <v>173</v>
      </c>
      <c r="D7" s="4"/>
      <c r="E7" s="5">
        <v>44395</v>
      </c>
      <c r="F7" s="65">
        <f>'yi-üfe-dikey'!$E$6</f>
        <v>45657</v>
      </c>
      <c r="G7" s="6">
        <v>100000</v>
      </c>
      <c r="H7" s="31"/>
      <c r="I7" s="6"/>
      <c r="J7" s="60">
        <f t="shared" si="5"/>
        <v>100000</v>
      </c>
      <c r="K7" s="6">
        <v>5000</v>
      </c>
      <c r="L7" s="59" t="str">
        <f>IF(E7&lt;='yi-üfe-dikey'!$E$5,'yi-üfe-dikey'!$F$4,YEAR(E7)&amp;TEXT((MONTH(E7)),"00"))</f>
        <v>202409</v>
      </c>
      <c r="M7" s="59" t="str">
        <f t="shared" si="6"/>
        <v>202412</v>
      </c>
      <c r="N7" s="60">
        <f>VLOOKUP(L7,'yi-üfe-dikey'!A:B,2,0)</f>
        <v>3659.84</v>
      </c>
      <c r="O7" s="60">
        <f>VLOOKUP(M7,'yi-üfe-dikey'!A:B,2,0)</f>
        <v>3746.52</v>
      </c>
      <c r="P7" s="61">
        <f t="shared" si="7"/>
        <v>1.0236799999999999</v>
      </c>
      <c r="Q7" s="62">
        <f t="shared" si="8"/>
        <v>102368</v>
      </c>
      <c r="R7" s="37">
        <f t="shared" si="1"/>
        <v>2368</v>
      </c>
      <c r="S7" s="60">
        <f t="shared" si="2"/>
        <v>5118.3999999999996</v>
      </c>
      <c r="T7" s="31">
        <f t="shared" si="9"/>
        <v>118.39999999999964</v>
      </c>
    </row>
    <row r="8" spans="1:20">
      <c r="A8" s="64" t="str">
        <f t="shared" si="3"/>
        <v>25</v>
      </c>
      <c r="B8" s="63" t="str">
        <f t="shared" si="4"/>
        <v>254</v>
      </c>
      <c r="C8" s="4" t="s">
        <v>173</v>
      </c>
      <c r="D8" s="4"/>
      <c r="E8" s="5">
        <v>44395</v>
      </c>
      <c r="F8" s="65">
        <f>'yi-üfe-dikey'!$E$6</f>
        <v>45657</v>
      </c>
      <c r="G8" s="6">
        <v>100000</v>
      </c>
      <c r="H8" s="31"/>
      <c r="I8" s="6"/>
      <c r="J8" s="60">
        <f t="shared" si="5"/>
        <v>100000</v>
      </c>
      <c r="K8" s="6">
        <v>5000</v>
      </c>
      <c r="L8" s="59" t="str">
        <f>IF(E8&lt;='yi-üfe-dikey'!$E$5,'yi-üfe-dikey'!$F$4,YEAR(E8)&amp;TEXT((MONTH(E8)),"00"))</f>
        <v>202409</v>
      </c>
      <c r="M8" s="59" t="str">
        <f t="shared" si="6"/>
        <v>202412</v>
      </c>
      <c r="N8" s="60">
        <f>VLOOKUP(L8,'yi-üfe-dikey'!A:B,2,0)</f>
        <v>3659.84</v>
      </c>
      <c r="O8" s="60">
        <f>VLOOKUP(M8,'yi-üfe-dikey'!A:B,2,0)</f>
        <v>3746.52</v>
      </c>
      <c r="P8" s="61">
        <f t="shared" si="7"/>
        <v>1.0236799999999999</v>
      </c>
      <c r="Q8" s="62">
        <f t="shared" si="8"/>
        <v>102368</v>
      </c>
      <c r="R8" s="37">
        <f t="shared" si="1"/>
        <v>2368</v>
      </c>
      <c r="S8" s="60">
        <f t="shared" si="2"/>
        <v>5118.3999999999996</v>
      </c>
      <c r="T8" s="31">
        <f t="shared" si="9"/>
        <v>118.39999999999964</v>
      </c>
    </row>
    <row r="9" spans="1:20">
      <c r="A9" s="64" t="str">
        <f t="shared" si="3"/>
        <v>25</v>
      </c>
      <c r="B9" s="63" t="str">
        <f t="shared" si="4"/>
        <v>254</v>
      </c>
      <c r="C9" s="4" t="s">
        <v>173</v>
      </c>
      <c r="D9" s="4"/>
      <c r="E9" s="5">
        <v>44395</v>
      </c>
      <c r="F9" s="65">
        <f>'yi-üfe-dikey'!$E$6</f>
        <v>45657</v>
      </c>
      <c r="G9" s="6">
        <v>100000</v>
      </c>
      <c r="H9" s="31"/>
      <c r="I9" s="6"/>
      <c r="J9" s="60">
        <f t="shared" si="5"/>
        <v>100000</v>
      </c>
      <c r="K9" s="6">
        <v>5000</v>
      </c>
      <c r="L9" s="59" t="str">
        <f>IF(E9&lt;='yi-üfe-dikey'!$E$5,'yi-üfe-dikey'!$F$4,YEAR(E9)&amp;TEXT((MONTH(E9)),"00"))</f>
        <v>202409</v>
      </c>
      <c r="M9" s="59" t="str">
        <f t="shared" si="6"/>
        <v>202412</v>
      </c>
      <c r="N9" s="60">
        <f>VLOOKUP(L9,'yi-üfe-dikey'!A:B,2,0)</f>
        <v>3659.84</v>
      </c>
      <c r="O9" s="60">
        <f>VLOOKUP(M9,'yi-üfe-dikey'!A:B,2,0)</f>
        <v>3746.52</v>
      </c>
      <c r="P9" s="61">
        <f t="shared" si="7"/>
        <v>1.0236799999999999</v>
      </c>
      <c r="Q9" s="62">
        <f t="shared" si="8"/>
        <v>102368</v>
      </c>
      <c r="R9" s="37">
        <f t="shared" si="1"/>
        <v>2368</v>
      </c>
      <c r="S9" s="60">
        <f t="shared" si="2"/>
        <v>5118.3999999999996</v>
      </c>
      <c r="T9" s="31">
        <f t="shared" si="9"/>
        <v>118.39999999999964</v>
      </c>
    </row>
    <row r="10" spans="1:20">
      <c r="A10" s="64" t="str">
        <f t="shared" si="3"/>
        <v>25</v>
      </c>
      <c r="B10" s="63" t="str">
        <f t="shared" si="4"/>
        <v>254</v>
      </c>
      <c r="C10" s="4" t="s">
        <v>173</v>
      </c>
      <c r="D10" s="4"/>
      <c r="E10" s="5">
        <v>44395</v>
      </c>
      <c r="F10" s="65">
        <f>'yi-üfe-dikey'!$E$6</f>
        <v>45657</v>
      </c>
      <c r="G10" s="6">
        <v>100000</v>
      </c>
      <c r="H10" s="31"/>
      <c r="I10" s="6"/>
      <c r="J10" s="60">
        <f t="shared" si="5"/>
        <v>100000</v>
      </c>
      <c r="K10" s="6">
        <v>5000</v>
      </c>
      <c r="L10" s="59" t="str">
        <f>IF(E10&lt;='yi-üfe-dikey'!$E$5,'yi-üfe-dikey'!$F$4,YEAR(E10)&amp;TEXT((MONTH(E10)),"00"))</f>
        <v>202409</v>
      </c>
      <c r="M10" s="59" t="str">
        <f t="shared" si="6"/>
        <v>202412</v>
      </c>
      <c r="N10" s="60">
        <f>VLOOKUP(L10,'yi-üfe-dikey'!A:B,2,0)</f>
        <v>3659.84</v>
      </c>
      <c r="O10" s="60">
        <f>VLOOKUP(M10,'yi-üfe-dikey'!A:B,2,0)</f>
        <v>3746.52</v>
      </c>
      <c r="P10" s="61">
        <f t="shared" si="7"/>
        <v>1.0236799999999999</v>
      </c>
      <c r="Q10" s="62">
        <f t="shared" si="8"/>
        <v>102368</v>
      </c>
      <c r="R10" s="37">
        <f t="shared" si="1"/>
        <v>2368</v>
      </c>
      <c r="S10" s="60">
        <f t="shared" si="2"/>
        <v>5118.3999999999996</v>
      </c>
      <c r="T10" s="31">
        <f t="shared" si="9"/>
        <v>118.39999999999964</v>
      </c>
    </row>
    <row r="11" spans="1:20">
      <c r="A11" s="64" t="str">
        <f t="shared" si="3"/>
        <v>25</v>
      </c>
      <c r="B11" s="63" t="str">
        <f t="shared" si="4"/>
        <v>254</v>
      </c>
      <c r="C11" s="4" t="s">
        <v>173</v>
      </c>
      <c r="D11" s="4"/>
      <c r="E11" s="5">
        <v>44395</v>
      </c>
      <c r="F11" s="65">
        <f>'yi-üfe-dikey'!$E$6</f>
        <v>45657</v>
      </c>
      <c r="G11" s="6">
        <v>100000</v>
      </c>
      <c r="H11" s="31"/>
      <c r="I11" s="6"/>
      <c r="J11" s="60">
        <f t="shared" si="5"/>
        <v>100000</v>
      </c>
      <c r="K11" s="6">
        <v>5000</v>
      </c>
      <c r="L11" s="59" t="str">
        <f>IF(E11&lt;='yi-üfe-dikey'!$E$5,'yi-üfe-dikey'!$F$4,YEAR(E11)&amp;TEXT((MONTH(E11)),"00"))</f>
        <v>202409</v>
      </c>
      <c r="M11" s="59" t="str">
        <f t="shared" si="6"/>
        <v>202412</v>
      </c>
      <c r="N11" s="60">
        <f>VLOOKUP(L11,'yi-üfe-dikey'!A:B,2,0)</f>
        <v>3659.84</v>
      </c>
      <c r="O11" s="60">
        <f>VLOOKUP(M11,'yi-üfe-dikey'!A:B,2,0)</f>
        <v>3746.52</v>
      </c>
      <c r="P11" s="61">
        <f t="shared" si="7"/>
        <v>1.0236799999999999</v>
      </c>
      <c r="Q11" s="62">
        <f t="shared" si="8"/>
        <v>102368</v>
      </c>
      <c r="R11" s="37">
        <f t="shared" si="1"/>
        <v>2368</v>
      </c>
      <c r="S11" s="60">
        <f t="shared" si="2"/>
        <v>5118.3999999999996</v>
      </c>
      <c r="T11" s="31">
        <f t="shared" si="9"/>
        <v>118.39999999999964</v>
      </c>
    </row>
    <row r="12" spans="1:20">
      <c r="A12" s="64" t="str">
        <f t="shared" si="3"/>
        <v>25</v>
      </c>
      <c r="B12" s="63" t="str">
        <f t="shared" si="4"/>
        <v>254</v>
      </c>
      <c r="C12" s="4" t="s">
        <v>173</v>
      </c>
      <c r="D12" s="4"/>
      <c r="E12" s="5">
        <v>44395</v>
      </c>
      <c r="F12" s="65">
        <f>'yi-üfe-dikey'!$E$6</f>
        <v>45657</v>
      </c>
      <c r="G12" s="6">
        <v>100000</v>
      </c>
      <c r="H12" s="31"/>
      <c r="I12" s="6"/>
      <c r="J12" s="60">
        <f t="shared" si="5"/>
        <v>100000</v>
      </c>
      <c r="K12" s="6">
        <v>5000</v>
      </c>
      <c r="L12" s="59" t="str">
        <f>IF(E12&lt;='yi-üfe-dikey'!$E$5,'yi-üfe-dikey'!$F$4,YEAR(E12)&amp;TEXT((MONTH(E12)),"00"))</f>
        <v>202409</v>
      </c>
      <c r="M12" s="59" t="str">
        <f t="shared" si="6"/>
        <v>202412</v>
      </c>
      <c r="N12" s="60">
        <f>VLOOKUP(L12,'yi-üfe-dikey'!A:B,2,0)</f>
        <v>3659.84</v>
      </c>
      <c r="O12" s="60">
        <f>VLOOKUP(M12,'yi-üfe-dikey'!A:B,2,0)</f>
        <v>3746.52</v>
      </c>
      <c r="P12" s="61">
        <f t="shared" si="7"/>
        <v>1.0236799999999999</v>
      </c>
      <c r="Q12" s="62">
        <f t="shared" si="8"/>
        <v>102368</v>
      </c>
      <c r="R12" s="37">
        <f t="shared" si="1"/>
        <v>2368</v>
      </c>
      <c r="S12" s="60">
        <f t="shared" si="2"/>
        <v>5118.3999999999996</v>
      </c>
      <c r="T12" s="31">
        <f t="shared" si="9"/>
        <v>118.39999999999964</v>
      </c>
    </row>
    <row r="13" spans="1:20">
      <c r="A13" s="64" t="str">
        <f t="shared" si="3"/>
        <v>25</v>
      </c>
      <c r="B13" s="63" t="str">
        <f t="shared" si="4"/>
        <v>254</v>
      </c>
      <c r="C13" s="4" t="s">
        <v>173</v>
      </c>
      <c r="D13" s="4"/>
      <c r="E13" s="5">
        <v>44395</v>
      </c>
      <c r="F13" s="65">
        <f>'yi-üfe-dikey'!$E$6</f>
        <v>45657</v>
      </c>
      <c r="G13" s="6">
        <v>100000</v>
      </c>
      <c r="H13" s="31"/>
      <c r="I13" s="6"/>
      <c r="J13" s="60">
        <f t="shared" si="5"/>
        <v>100000</v>
      </c>
      <c r="K13" s="6">
        <v>5000</v>
      </c>
      <c r="L13" s="59" t="str">
        <f>IF(E13&lt;='yi-üfe-dikey'!$E$5,'yi-üfe-dikey'!$F$4,YEAR(E13)&amp;TEXT((MONTH(E13)),"00"))</f>
        <v>202409</v>
      </c>
      <c r="M13" s="59" t="str">
        <f t="shared" si="6"/>
        <v>202412</v>
      </c>
      <c r="N13" s="60">
        <f>VLOOKUP(L13,'yi-üfe-dikey'!A:B,2,0)</f>
        <v>3659.84</v>
      </c>
      <c r="O13" s="60">
        <f>VLOOKUP(M13,'yi-üfe-dikey'!A:B,2,0)</f>
        <v>3746.52</v>
      </c>
      <c r="P13" s="61">
        <f t="shared" si="7"/>
        <v>1.0236799999999999</v>
      </c>
      <c r="Q13" s="62">
        <f t="shared" si="8"/>
        <v>102368</v>
      </c>
      <c r="R13" s="37">
        <f t="shared" si="1"/>
        <v>2368</v>
      </c>
      <c r="S13" s="60">
        <f t="shared" si="2"/>
        <v>5118.3999999999996</v>
      </c>
      <c r="T13" s="31">
        <f t="shared" si="9"/>
        <v>118.39999999999964</v>
      </c>
    </row>
    <row r="14" spans="1:20">
      <c r="A14" s="64" t="str">
        <f t="shared" si="3"/>
        <v>25</v>
      </c>
      <c r="B14" s="63" t="str">
        <f t="shared" si="4"/>
        <v>255</v>
      </c>
      <c r="C14" s="4" t="s">
        <v>174</v>
      </c>
      <c r="D14" s="4"/>
      <c r="E14" s="5">
        <v>44395</v>
      </c>
      <c r="F14" s="65">
        <f>'yi-üfe-dikey'!$E$6</f>
        <v>45657</v>
      </c>
      <c r="G14" s="6">
        <v>100000</v>
      </c>
      <c r="H14" s="31"/>
      <c r="I14" s="6"/>
      <c r="J14" s="60">
        <f t="shared" si="5"/>
        <v>100000</v>
      </c>
      <c r="K14" s="6">
        <v>5000</v>
      </c>
      <c r="L14" s="59" t="str">
        <f>IF(E14&lt;='yi-üfe-dikey'!$E$5,'yi-üfe-dikey'!$F$4,YEAR(E14)&amp;TEXT((MONTH(E14)),"00"))</f>
        <v>202409</v>
      </c>
      <c r="M14" s="59" t="str">
        <f t="shared" si="6"/>
        <v>202412</v>
      </c>
      <c r="N14" s="60">
        <f>VLOOKUP(L14,'yi-üfe-dikey'!A:B,2,0)</f>
        <v>3659.84</v>
      </c>
      <c r="O14" s="60">
        <f>VLOOKUP(M14,'yi-üfe-dikey'!A:B,2,0)</f>
        <v>3746.52</v>
      </c>
      <c r="P14" s="61">
        <f t="shared" si="7"/>
        <v>1.0236799999999999</v>
      </c>
      <c r="Q14" s="62">
        <f t="shared" si="8"/>
        <v>102368</v>
      </c>
      <c r="R14" s="37">
        <f t="shared" si="1"/>
        <v>2368</v>
      </c>
      <c r="S14" s="60">
        <f t="shared" si="2"/>
        <v>5118.3999999999996</v>
      </c>
      <c r="T14" s="31">
        <f t="shared" si="9"/>
        <v>118.39999999999964</v>
      </c>
    </row>
    <row r="15" spans="1:20">
      <c r="A15" s="64" t="str">
        <f t="shared" si="3"/>
        <v>25</v>
      </c>
      <c r="B15" s="63" t="str">
        <f t="shared" si="4"/>
        <v>255</v>
      </c>
      <c r="C15" s="4" t="s">
        <v>174</v>
      </c>
      <c r="D15" s="4"/>
      <c r="E15" s="5">
        <v>44395</v>
      </c>
      <c r="F15" s="65">
        <f>'yi-üfe-dikey'!$E$6</f>
        <v>45657</v>
      </c>
      <c r="G15" s="6">
        <v>100000</v>
      </c>
      <c r="H15" s="31"/>
      <c r="I15" s="6"/>
      <c r="J15" s="60">
        <f t="shared" si="5"/>
        <v>100000</v>
      </c>
      <c r="K15" s="6">
        <v>5000</v>
      </c>
      <c r="L15" s="59" t="str">
        <f>IF(E15&lt;='yi-üfe-dikey'!$E$5,'yi-üfe-dikey'!$F$4,YEAR(E15)&amp;TEXT((MONTH(E15)),"00"))</f>
        <v>202409</v>
      </c>
      <c r="M15" s="59" t="str">
        <f t="shared" si="6"/>
        <v>202412</v>
      </c>
      <c r="N15" s="60">
        <f>VLOOKUP(L15,'yi-üfe-dikey'!A:B,2,0)</f>
        <v>3659.84</v>
      </c>
      <c r="O15" s="60">
        <f>VLOOKUP(M15,'yi-üfe-dikey'!A:B,2,0)</f>
        <v>3746.52</v>
      </c>
      <c r="P15" s="61">
        <f t="shared" si="7"/>
        <v>1.0236799999999999</v>
      </c>
      <c r="Q15" s="62">
        <f t="shared" si="8"/>
        <v>102368</v>
      </c>
      <c r="R15" s="37">
        <f t="shared" si="1"/>
        <v>2368</v>
      </c>
      <c r="S15" s="60">
        <f t="shared" si="2"/>
        <v>5118.3999999999996</v>
      </c>
      <c r="T15" s="31">
        <f t="shared" si="9"/>
        <v>118.39999999999964</v>
      </c>
    </row>
    <row r="16" spans="1:20">
      <c r="A16" s="64" t="str">
        <f t="shared" si="3"/>
        <v>25</v>
      </c>
      <c r="B16" s="63" t="str">
        <f t="shared" si="4"/>
        <v>255</v>
      </c>
      <c r="C16" s="4" t="s">
        <v>174</v>
      </c>
      <c r="D16" s="4"/>
      <c r="E16" s="5">
        <v>44395</v>
      </c>
      <c r="F16" s="65">
        <f>'yi-üfe-dikey'!$E$6</f>
        <v>45657</v>
      </c>
      <c r="G16" s="6">
        <v>100000</v>
      </c>
      <c r="H16" s="31"/>
      <c r="I16" s="6"/>
      <c r="J16" s="60">
        <f t="shared" si="5"/>
        <v>100000</v>
      </c>
      <c r="K16" s="6">
        <v>5000</v>
      </c>
      <c r="L16" s="59" t="str">
        <f>IF(E16&lt;='yi-üfe-dikey'!$E$5,'yi-üfe-dikey'!$F$4,YEAR(E16)&amp;TEXT((MONTH(E16)),"00"))</f>
        <v>202409</v>
      </c>
      <c r="M16" s="59" t="str">
        <f t="shared" si="6"/>
        <v>202412</v>
      </c>
      <c r="N16" s="60">
        <f>VLOOKUP(L16,'yi-üfe-dikey'!A:B,2,0)</f>
        <v>3659.84</v>
      </c>
      <c r="O16" s="60">
        <f>VLOOKUP(M16,'yi-üfe-dikey'!A:B,2,0)</f>
        <v>3746.52</v>
      </c>
      <c r="P16" s="61">
        <f t="shared" si="7"/>
        <v>1.0236799999999999</v>
      </c>
      <c r="Q16" s="62">
        <f t="shared" si="8"/>
        <v>102368</v>
      </c>
      <c r="R16" s="37">
        <f t="shared" si="1"/>
        <v>2368</v>
      </c>
      <c r="S16" s="60">
        <f t="shared" si="2"/>
        <v>5118.3999999999996</v>
      </c>
      <c r="T16" s="31">
        <f t="shared" si="9"/>
        <v>118.39999999999964</v>
      </c>
    </row>
    <row r="17" spans="1:20">
      <c r="A17" s="64" t="str">
        <f t="shared" si="3"/>
        <v>25</v>
      </c>
      <c r="B17" s="63" t="str">
        <f t="shared" si="4"/>
        <v>255</v>
      </c>
      <c r="C17" s="4" t="s">
        <v>174</v>
      </c>
      <c r="D17" s="4"/>
      <c r="E17" s="5">
        <v>44395</v>
      </c>
      <c r="F17" s="65">
        <f>'yi-üfe-dikey'!$E$6</f>
        <v>45657</v>
      </c>
      <c r="G17" s="6">
        <v>100000</v>
      </c>
      <c r="H17" s="31"/>
      <c r="I17" s="6"/>
      <c r="J17" s="60">
        <f t="shared" si="5"/>
        <v>100000</v>
      </c>
      <c r="K17" s="6">
        <v>5000</v>
      </c>
      <c r="L17" s="59" t="str">
        <f>IF(E17&lt;='yi-üfe-dikey'!$E$5,'yi-üfe-dikey'!$F$4,YEAR(E17)&amp;TEXT((MONTH(E17)),"00"))</f>
        <v>202409</v>
      </c>
      <c r="M17" s="59" t="str">
        <f t="shared" si="6"/>
        <v>202412</v>
      </c>
      <c r="N17" s="60">
        <f>VLOOKUP(L17,'yi-üfe-dikey'!A:B,2,0)</f>
        <v>3659.84</v>
      </c>
      <c r="O17" s="60">
        <f>VLOOKUP(M17,'yi-üfe-dikey'!A:B,2,0)</f>
        <v>3746.52</v>
      </c>
      <c r="P17" s="61">
        <f t="shared" si="7"/>
        <v>1.0236799999999999</v>
      </c>
      <c r="Q17" s="62">
        <f t="shared" si="8"/>
        <v>102368</v>
      </c>
      <c r="R17" s="37">
        <f t="shared" si="1"/>
        <v>2368</v>
      </c>
      <c r="S17" s="60">
        <f t="shared" si="2"/>
        <v>5118.3999999999996</v>
      </c>
      <c r="T17" s="31">
        <f t="shared" si="9"/>
        <v>118.39999999999964</v>
      </c>
    </row>
    <row r="18" spans="1:20">
      <c r="A18" s="64" t="str">
        <f t="shared" si="3"/>
        <v>25</v>
      </c>
      <c r="B18" s="63" t="str">
        <f t="shared" si="4"/>
        <v>255</v>
      </c>
      <c r="C18" s="4" t="s">
        <v>174</v>
      </c>
      <c r="D18" s="4"/>
      <c r="E18" s="5">
        <v>44395</v>
      </c>
      <c r="F18" s="65">
        <f>'yi-üfe-dikey'!$E$6</f>
        <v>45657</v>
      </c>
      <c r="G18" s="6">
        <v>100000</v>
      </c>
      <c r="H18" s="31"/>
      <c r="I18" s="6"/>
      <c r="J18" s="60">
        <f t="shared" si="5"/>
        <v>100000</v>
      </c>
      <c r="K18" s="6">
        <v>5000</v>
      </c>
      <c r="L18" s="59" t="str">
        <f>IF(E18&lt;='yi-üfe-dikey'!$E$5,'yi-üfe-dikey'!$F$4,YEAR(E18)&amp;TEXT((MONTH(E18)),"00"))</f>
        <v>202409</v>
      </c>
      <c r="M18" s="59" t="str">
        <f t="shared" si="6"/>
        <v>202412</v>
      </c>
      <c r="N18" s="60">
        <f>VLOOKUP(L18,'yi-üfe-dikey'!A:B,2,0)</f>
        <v>3659.84</v>
      </c>
      <c r="O18" s="60">
        <f>VLOOKUP(M18,'yi-üfe-dikey'!A:B,2,0)</f>
        <v>3746.52</v>
      </c>
      <c r="P18" s="61">
        <f t="shared" si="7"/>
        <v>1.0236799999999999</v>
      </c>
      <c r="Q18" s="62">
        <f t="shared" si="8"/>
        <v>102368</v>
      </c>
      <c r="R18" s="37">
        <f t="shared" si="1"/>
        <v>2368</v>
      </c>
      <c r="S18" s="60">
        <f t="shared" si="2"/>
        <v>5118.3999999999996</v>
      </c>
      <c r="T18" s="31">
        <f t="shared" si="9"/>
        <v>118.39999999999964</v>
      </c>
    </row>
    <row r="19" spans="1:20">
      <c r="A19" s="64" t="str">
        <f t="shared" si="3"/>
        <v>25</v>
      </c>
      <c r="B19" s="63" t="str">
        <f t="shared" si="4"/>
        <v>255</v>
      </c>
      <c r="C19" s="4" t="s">
        <v>174</v>
      </c>
      <c r="D19" s="4"/>
      <c r="E19" s="5">
        <v>44395</v>
      </c>
      <c r="F19" s="65">
        <f>'yi-üfe-dikey'!$E$6</f>
        <v>45657</v>
      </c>
      <c r="G19" s="6">
        <v>100000</v>
      </c>
      <c r="H19" s="31"/>
      <c r="I19" s="6"/>
      <c r="J19" s="60">
        <f t="shared" si="5"/>
        <v>100000</v>
      </c>
      <c r="K19" s="6">
        <v>5000</v>
      </c>
      <c r="L19" s="59" t="str">
        <f>IF(E19&lt;='yi-üfe-dikey'!$E$5,'yi-üfe-dikey'!$F$4,YEAR(E19)&amp;TEXT((MONTH(E19)),"00"))</f>
        <v>202409</v>
      </c>
      <c r="M19" s="59" t="str">
        <f t="shared" si="6"/>
        <v>202412</v>
      </c>
      <c r="N19" s="60">
        <f>VLOOKUP(L19,'yi-üfe-dikey'!A:B,2,0)</f>
        <v>3659.84</v>
      </c>
      <c r="O19" s="60">
        <f>VLOOKUP(M19,'yi-üfe-dikey'!A:B,2,0)</f>
        <v>3746.52</v>
      </c>
      <c r="P19" s="61">
        <f t="shared" si="7"/>
        <v>1.0236799999999999</v>
      </c>
      <c r="Q19" s="62">
        <f t="shared" si="8"/>
        <v>102368</v>
      </c>
      <c r="R19" s="37">
        <f t="shared" si="1"/>
        <v>2368</v>
      </c>
      <c r="S19" s="60">
        <f t="shared" si="2"/>
        <v>5118.3999999999996</v>
      </c>
      <c r="T19" s="31">
        <f t="shared" si="9"/>
        <v>118.39999999999964</v>
      </c>
    </row>
    <row r="20" spans="1:20">
      <c r="A20" s="64" t="str">
        <f t="shared" si="3"/>
        <v>25</v>
      </c>
      <c r="B20" s="63" t="str">
        <f t="shared" si="4"/>
        <v>255</v>
      </c>
      <c r="C20" s="4" t="s">
        <v>174</v>
      </c>
      <c r="D20" s="4"/>
      <c r="E20" s="5">
        <v>44395</v>
      </c>
      <c r="F20" s="65">
        <f>'yi-üfe-dikey'!$E$6</f>
        <v>45657</v>
      </c>
      <c r="G20" s="6">
        <v>100000</v>
      </c>
      <c r="H20" s="31"/>
      <c r="I20" s="6"/>
      <c r="J20" s="60">
        <f t="shared" si="5"/>
        <v>100000</v>
      </c>
      <c r="K20" s="6">
        <v>5000</v>
      </c>
      <c r="L20" s="59" t="str">
        <f>IF(E20&lt;='yi-üfe-dikey'!$E$5,'yi-üfe-dikey'!$F$4,YEAR(E20)&amp;TEXT((MONTH(E20)),"00"))</f>
        <v>202409</v>
      </c>
      <c r="M20" s="59" t="str">
        <f t="shared" si="6"/>
        <v>202412</v>
      </c>
      <c r="N20" s="60">
        <f>VLOOKUP(L20,'yi-üfe-dikey'!A:B,2,0)</f>
        <v>3659.84</v>
      </c>
      <c r="O20" s="60">
        <f>VLOOKUP(M20,'yi-üfe-dikey'!A:B,2,0)</f>
        <v>3746.52</v>
      </c>
      <c r="P20" s="61">
        <f t="shared" si="7"/>
        <v>1.0236799999999999</v>
      </c>
      <c r="Q20" s="62">
        <f t="shared" si="8"/>
        <v>102368</v>
      </c>
      <c r="R20" s="37">
        <f t="shared" si="1"/>
        <v>2368</v>
      </c>
      <c r="S20" s="60">
        <f t="shared" si="2"/>
        <v>5118.3999999999996</v>
      </c>
      <c r="T20" s="31">
        <f t="shared" si="9"/>
        <v>118.39999999999964</v>
      </c>
    </row>
    <row r="21" spans="1:20">
      <c r="A21" s="64" t="str">
        <f t="shared" si="3"/>
        <v>25</v>
      </c>
      <c r="B21" s="63" t="str">
        <f t="shared" si="4"/>
        <v>255</v>
      </c>
      <c r="C21" s="4" t="s">
        <v>174</v>
      </c>
      <c r="D21" s="4"/>
      <c r="E21" s="5">
        <v>45352</v>
      </c>
      <c r="F21" s="65">
        <f>'yi-üfe-dikey'!$E$6</f>
        <v>45657</v>
      </c>
      <c r="G21" s="6">
        <v>100000</v>
      </c>
      <c r="H21" s="31"/>
      <c r="I21" s="6"/>
      <c r="J21" s="60">
        <f t="shared" si="5"/>
        <v>100000</v>
      </c>
      <c r="K21" s="6">
        <v>5000</v>
      </c>
      <c r="L21" s="59" t="str">
        <f>IF(E21&lt;='yi-üfe-dikey'!$E$5,'yi-üfe-dikey'!$F$4,YEAR(E21)&amp;TEXT((MONTH(E21)),"00"))</f>
        <v>202409</v>
      </c>
      <c r="M21" s="59" t="str">
        <f t="shared" si="6"/>
        <v>202412</v>
      </c>
      <c r="N21" s="60">
        <f>VLOOKUP(L21,'yi-üfe-dikey'!A:B,2,0)</f>
        <v>3659.84</v>
      </c>
      <c r="O21" s="60">
        <f>VLOOKUP(M21,'yi-üfe-dikey'!A:B,2,0)</f>
        <v>3746.52</v>
      </c>
      <c r="P21" s="61">
        <f t="shared" si="7"/>
        <v>1.0236799999999999</v>
      </c>
      <c r="Q21" s="62">
        <f t="shared" si="8"/>
        <v>102368</v>
      </c>
      <c r="R21" s="37">
        <f t="shared" si="1"/>
        <v>2368</v>
      </c>
      <c r="S21" s="60">
        <f t="shared" si="2"/>
        <v>5118.3999999999996</v>
      </c>
      <c r="T21" s="31">
        <f t="shared" si="9"/>
        <v>118.39999999999964</v>
      </c>
    </row>
    <row r="22" spans="1:20">
      <c r="A22" s="64" t="str">
        <f t="shared" si="3"/>
        <v>26</v>
      </c>
      <c r="B22" s="63" t="str">
        <f t="shared" si="4"/>
        <v>260</v>
      </c>
      <c r="C22" s="4" t="s">
        <v>262</v>
      </c>
      <c r="D22" s="4"/>
      <c r="E22" s="5">
        <v>45383</v>
      </c>
      <c r="F22" s="65">
        <f>'yi-üfe-dikey'!$E$6</f>
        <v>45657</v>
      </c>
      <c r="G22" s="6">
        <v>100000</v>
      </c>
      <c r="H22" s="31"/>
      <c r="I22" s="6"/>
      <c r="J22" s="60">
        <f t="shared" si="5"/>
        <v>100000</v>
      </c>
      <c r="K22" s="6">
        <v>5000</v>
      </c>
      <c r="L22" s="59" t="str">
        <f>IF(E22&lt;='yi-üfe-dikey'!$E$5,'yi-üfe-dikey'!$F$4,YEAR(E22)&amp;TEXT((MONTH(E22)),"00"))</f>
        <v>202409</v>
      </c>
      <c r="M22" s="59" t="str">
        <f t="shared" si="6"/>
        <v>202412</v>
      </c>
      <c r="N22" s="60">
        <f>VLOOKUP(L22,'yi-üfe-dikey'!A:B,2,0)</f>
        <v>3659.84</v>
      </c>
      <c r="O22" s="60">
        <f>VLOOKUP(M22,'yi-üfe-dikey'!A:B,2,0)</f>
        <v>3746.52</v>
      </c>
      <c r="P22" s="61">
        <f t="shared" si="7"/>
        <v>1.0236799999999999</v>
      </c>
      <c r="Q22" s="62">
        <f t="shared" si="8"/>
        <v>102368</v>
      </c>
      <c r="R22" s="37">
        <f t="shared" si="1"/>
        <v>2368</v>
      </c>
      <c r="S22" s="60">
        <f t="shared" si="2"/>
        <v>5118.3999999999996</v>
      </c>
      <c r="T22" s="31">
        <f t="shared" si="9"/>
        <v>118.39999999999964</v>
      </c>
    </row>
    <row r="23" spans="1:20">
      <c r="A23" s="64" t="str">
        <f t="shared" si="3"/>
        <v>26</v>
      </c>
      <c r="B23" s="63" t="str">
        <f t="shared" si="4"/>
        <v>260</v>
      </c>
      <c r="C23" s="4" t="s">
        <v>262</v>
      </c>
      <c r="D23" s="4"/>
      <c r="E23" s="5">
        <v>45437</v>
      </c>
      <c r="F23" s="65">
        <f>'yi-üfe-dikey'!$E$6</f>
        <v>45657</v>
      </c>
      <c r="G23" s="6">
        <v>100000</v>
      </c>
      <c r="H23" s="31"/>
      <c r="I23" s="6"/>
      <c r="J23" s="60">
        <f t="shared" si="5"/>
        <v>100000</v>
      </c>
      <c r="K23" s="6">
        <v>5000</v>
      </c>
      <c r="L23" s="59" t="str">
        <f>IF(E23&lt;='yi-üfe-dikey'!$E$5,'yi-üfe-dikey'!$F$4,YEAR(E23)&amp;TEXT((MONTH(E23)),"00"))</f>
        <v>202409</v>
      </c>
      <c r="M23" s="59" t="str">
        <f t="shared" si="6"/>
        <v>202412</v>
      </c>
      <c r="N23" s="60">
        <f>VLOOKUP(L23,'yi-üfe-dikey'!A:B,2,0)</f>
        <v>3659.84</v>
      </c>
      <c r="O23" s="60">
        <f>VLOOKUP(M23,'yi-üfe-dikey'!A:B,2,0)</f>
        <v>3746.52</v>
      </c>
      <c r="P23" s="61">
        <f t="shared" si="7"/>
        <v>1.0236799999999999</v>
      </c>
      <c r="Q23" s="62">
        <f t="shared" si="8"/>
        <v>102368</v>
      </c>
      <c r="R23" s="37">
        <f t="shared" si="1"/>
        <v>2368</v>
      </c>
      <c r="S23" s="60">
        <f t="shared" si="2"/>
        <v>5118.3999999999996</v>
      </c>
      <c r="T23" s="31">
        <f t="shared" si="9"/>
        <v>118.39999999999964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W23"/>
  <hyperlinks>
    <hyperlink ref="T2" r:id="rId1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13"/>
  <sheetViews>
    <sheetView topLeftCell="H1" workbookViewId="0">
      <selection activeCell="O9" sqref="O9"/>
    </sheetView>
  </sheetViews>
  <sheetFormatPr defaultColWidth="9" defaultRowHeight="14.25"/>
  <cols>
    <col min="1" max="1" width="2.1328125" style="17" customWidth="1"/>
    <col min="2" max="2" width="7.53125" style="64" customWidth="1"/>
    <col min="3" max="3" width="11.1328125" style="17" customWidth="1"/>
    <col min="4" max="4" width="13.33203125" style="17" customWidth="1"/>
    <col min="5" max="5" width="27.86328125" style="17" customWidth="1"/>
    <col min="6" max="6" width="18.33203125" style="64" bestFit="1" customWidth="1"/>
    <col min="7" max="7" width="11" style="17" customWidth="1"/>
    <col min="8" max="8" width="14.53125" style="64" customWidth="1"/>
    <col min="9" max="9" width="14.46484375" style="6" customWidth="1"/>
    <col min="10" max="10" width="10" style="63" customWidth="1"/>
    <col min="11" max="11" width="13.1328125" style="63" bestFit="1" customWidth="1"/>
    <col min="12" max="12" width="10.46484375" style="64" customWidth="1"/>
    <col min="13" max="13" width="12.1328125" style="64" customWidth="1"/>
    <col min="14" max="14" width="9.53125" style="64" bestFit="1" customWidth="1"/>
    <col min="15" max="15" width="15.53125" style="64" customWidth="1"/>
    <col min="16" max="16" width="13.6640625" style="24" customWidth="1"/>
    <col min="17" max="27" width="9" style="17"/>
    <col min="28" max="28" width="24.33203125" style="33" customWidth="1"/>
    <col min="29" max="29" width="9.1328125" style="33" customWidth="1"/>
    <col min="30" max="30" width="9.1328125" style="32" customWidth="1"/>
    <col min="31" max="16384" width="9" style="17"/>
  </cols>
  <sheetData>
    <row r="1" spans="2:32" s="10" customFormat="1">
      <c r="B1" s="55"/>
      <c r="F1" s="55"/>
      <c r="H1" s="55"/>
      <c r="I1" s="23"/>
      <c r="J1" s="54"/>
      <c r="K1" s="54"/>
      <c r="L1" s="55"/>
      <c r="M1" s="55"/>
      <c r="N1" s="55"/>
      <c r="O1" s="55"/>
      <c r="P1" s="46" t="s">
        <v>663</v>
      </c>
      <c r="Z1" s="52"/>
      <c r="AA1" s="52"/>
      <c r="AB1" s="53" t="s">
        <v>555</v>
      </c>
      <c r="AC1" s="53" t="s">
        <v>184</v>
      </c>
      <c r="AD1" s="52"/>
      <c r="AE1" s="52"/>
      <c r="AF1" s="52"/>
    </row>
    <row r="2" spans="2:32" s="10" customFormat="1">
      <c r="B2" s="55"/>
      <c r="F2" s="55"/>
      <c r="H2" s="55"/>
      <c r="I2" s="23"/>
      <c r="J2" s="54"/>
      <c r="K2" s="54"/>
      <c r="L2" s="55"/>
      <c r="M2" s="55"/>
      <c r="N2" s="55"/>
      <c r="O2" s="55"/>
      <c r="P2" s="47" t="s">
        <v>662</v>
      </c>
      <c r="Z2" s="52"/>
      <c r="AA2" s="52"/>
      <c r="AB2" s="53" t="s">
        <v>556</v>
      </c>
      <c r="AC2" s="53" t="s">
        <v>184</v>
      </c>
      <c r="AD2" s="52"/>
      <c r="AE2" s="52"/>
      <c r="AF2" s="52"/>
    </row>
    <row r="3" spans="2:32" ht="39.4">
      <c r="B3" s="81" t="s">
        <v>143</v>
      </c>
      <c r="C3" s="1" t="s">
        <v>148</v>
      </c>
      <c r="D3" s="1" t="s">
        <v>130</v>
      </c>
      <c r="E3" s="1" t="s">
        <v>176</v>
      </c>
      <c r="F3" s="125" t="s">
        <v>185</v>
      </c>
      <c r="G3" s="2" t="s">
        <v>144</v>
      </c>
      <c r="H3" s="67" t="s">
        <v>153</v>
      </c>
      <c r="I3" s="7" t="s">
        <v>183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  <c r="Z3" s="27"/>
      <c r="AA3" s="27"/>
      <c r="AB3" s="33" t="s">
        <v>557</v>
      </c>
      <c r="AC3" s="33" t="s">
        <v>184</v>
      </c>
      <c r="AD3" s="27"/>
      <c r="AE3" s="27"/>
      <c r="AF3" s="27"/>
    </row>
    <row r="4" spans="2:32">
      <c r="B4" s="63" t="str">
        <f>LEFT(C4,3)</f>
        <v>500</v>
      </c>
      <c r="C4" s="4" t="s">
        <v>175</v>
      </c>
      <c r="D4" s="4" t="s">
        <v>114</v>
      </c>
      <c r="E4" s="4" t="s">
        <v>555</v>
      </c>
      <c r="F4" s="64" t="str">
        <f>VLOOKUP(E4,$AB$1:$AC$6,2,0)</f>
        <v>endekslenecek</v>
      </c>
      <c r="G4" s="5">
        <v>45291</v>
      </c>
      <c r="H4" s="65">
        <f>'yi-üfe-dikey'!$E$6</f>
        <v>45657</v>
      </c>
      <c r="I4" s="6">
        <v>100000</v>
      </c>
      <c r="J4" s="59" t="str">
        <f>IF(G4&lt;='yi-üfe-dikey'!$E$5,'yi-üfe-dikey'!$F$4,YEAR(G4)&amp;TEXT((MONTH(G4)),"00"))</f>
        <v>202409</v>
      </c>
      <c r="K4" s="59" t="str">
        <f>YEAR(H4)&amp;TEXT((MONTH(H4)),"00")</f>
        <v>202412</v>
      </c>
      <c r="L4" s="60">
        <f>VLOOKUP(J4,'yi-üfe-dikey'!A:B,2,0)</f>
        <v>3659.84</v>
      </c>
      <c r="M4" s="60">
        <f>VLOOKUP(K4,'yi-üfe-dikey'!A:B,2,0)</f>
        <v>3746.52</v>
      </c>
      <c r="N4" s="61">
        <f>IF(F4="endekslenecek",ROUND(M4/L4,5),1)</f>
        <v>1.0236799999999999</v>
      </c>
      <c r="O4" s="62">
        <f t="shared" ref="O4:O8" si="0">ROUND(I4*N4,2)</f>
        <v>102368</v>
      </c>
      <c r="P4" s="26">
        <f>+O4-I4</f>
        <v>2368</v>
      </c>
      <c r="Z4" s="27"/>
      <c r="AA4" s="27"/>
      <c r="AB4" s="33" t="s">
        <v>661</v>
      </c>
      <c r="AC4" s="33" t="s">
        <v>184</v>
      </c>
      <c r="AD4" s="27"/>
      <c r="AE4" s="27"/>
      <c r="AF4" s="27"/>
    </row>
    <row r="5" spans="2:32">
      <c r="B5" s="63" t="str">
        <f t="shared" ref="B5:B8" si="1">LEFT(C5,3)</f>
        <v>500</v>
      </c>
      <c r="C5" s="4" t="s">
        <v>175</v>
      </c>
      <c r="D5" s="4" t="s">
        <v>114</v>
      </c>
      <c r="E5" s="4" t="s">
        <v>556</v>
      </c>
      <c r="F5" s="64" t="str">
        <f>VLOOKUP(E5,$AB$1:$AC$6,2,0)</f>
        <v>endekslenecek</v>
      </c>
      <c r="G5" s="5">
        <v>45291</v>
      </c>
      <c r="H5" s="65">
        <f>'yi-üfe-dikey'!$E$6</f>
        <v>45657</v>
      </c>
      <c r="I5" s="6">
        <v>1758520</v>
      </c>
      <c r="J5" s="59" t="str">
        <f>IF(G5&lt;='yi-üfe-dikey'!$E$5,'yi-üfe-dikey'!$F$4,YEAR(G5)&amp;TEXT((MONTH(G5)),"00"))</f>
        <v>202409</v>
      </c>
      <c r="K5" s="59" t="str">
        <f t="shared" ref="K5:K8" si="2">YEAR(H5)&amp;TEXT((MONTH(H5)),"00")</f>
        <v>202412</v>
      </c>
      <c r="L5" s="60">
        <f>VLOOKUP(J5,'yi-üfe-dikey'!A:B,2,0)</f>
        <v>3659.84</v>
      </c>
      <c r="M5" s="60">
        <f>VLOOKUP(K5,'yi-üfe-dikey'!A:B,2,0)</f>
        <v>3746.52</v>
      </c>
      <c r="N5" s="61">
        <f t="shared" ref="N5:N7" si="3">IF(F5="endekslenecek",ROUND(M5/L5,5),1)</f>
        <v>1.0236799999999999</v>
      </c>
      <c r="O5" s="62">
        <f t="shared" si="0"/>
        <v>1800161.75</v>
      </c>
      <c r="P5" s="26">
        <f t="shared" ref="P5:P8" si="4">+O5-I5</f>
        <v>41641.75</v>
      </c>
      <c r="Z5" s="27"/>
      <c r="AA5" s="27"/>
      <c r="AB5" s="33" t="s">
        <v>717</v>
      </c>
      <c r="AC5" s="33" t="s">
        <v>184</v>
      </c>
      <c r="AD5" s="27"/>
      <c r="AE5" s="27"/>
      <c r="AF5" s="27"/>
    </row>
    <row r="6" spans="2:32">
      <c r="B6" s="63" t="str">
        <f t="shared" si="1"/>
        <v>500</v>
      </c>
      <c r="C6" s="4" t="s">
        <v>175</v>
      </c>
      <c r="D6" s="4" t="s">
        <v>114</v>
      </c>
      <c r="E6" s="4" t="s">
        <v>555</v>
      </c>
      <c r="F6" s="64" t="str">
        <f>VLOOKUP(E6,$AB$1:$AC$6,2,0)</f>
        <v>endekslenecek</v>
      </c>
      <c r="G6" s="5">
        <v>45301</v>
      </c>
      <c r="H6" s="65">
        <f>'yi-üfe-dikey'!$E$6</f>
        <v>45657</v>
      </c>
      <c r="I6" s="6">
        <v>241480</v>
      </c>
      <c r="J6" s="59" t="str">
        <f>IF(G6&lt;='yi-üfe-dikey'!$E$5,'yi-üfe-dikey'!$F$4,YEAR(G6)&amp;TEXT((MONTH(G6)),"00"))</f>
        <v>202409</v>
      </c>
      <c r="K6" s="59" t="str">
        <f t="shared" si="2"/>
        <v>202412</v>
      </c>
      <c r="L6" s="60">
        <f>VLOOKUP(J6,'yi-üfe-dikey'!A:B,2,0)</f>
        <v>3659.84</v>
      </c>
      <c r="M6" s="60">
        <f>VLOOKUP(K6,'yi-üfe-dikey'!A:B,2,0)</f>
        <v>3746.52</v>
      </c>
      <c r="N6" s="61">
        <f t="shared" si="3"/>
        <v>1.0236799999999999</v>
      </c>
      <c r="O6" s="62">
        <f t="shared" si="0"/>
        <v>247198.25</v>
      </c>
      <c r="P6" s="26">
        <f t="shared" si="4"/>
        <v>5718.25</v>
      </c>
      <c r="Z6" s="27"/>
      <c r="AA6" s="27"/>
      <c r="AD6" s="27"/>
      <c r="AE6" s="27"/>
      <c r="AF6" s="27"/>
    </row>
    <row r="7" spans="2:32">
      <c r="B7" s="63" t="str">
        <f t="shared" si="1"/>
        <v>500</v>
      </c>
      <c r="C7" s="4" t="s">
        <v>175</v>
      </c>
      <c r="D7" s="4" t="s">
        <v>114</v>
      </c>
      <c r="E7" s="4" t="s">
        <v>661</v>
      </c>
      <c r="F7" s="64" t="str">
        <f>VLOOKUP(E7,$AB$1:$AC$6,2,0)</f>
        <v>endekslenecek</v>
      </c>
      <c r="G7" s="5">
        <v>45342</v>
      </c>
      <c r="H7" s="65">
        <f>'yi-üfe-dikey'!$E$6</f>
        <v>45657</v>
      </c>
      <c r="I7" s="6">
        <v>1000000</v>
      </c>
      <c r="J7" s="59" t="str">
        <f>IF(G7&lt;='yi-üfe-dikey'!$E$5,'yi-üfe-dikey'!$F$4,YEAR(G7)&amp;TEXT((MONTH(G7)),"00"))</f>
        <v>202409</v>
      </c>
      <c r="K7" s="59" t="str">
        <f t="shared" si="2"/>
        <v>202412</v>
      </c>
      <c r="L7" s="60">
        <f>VLOOKUP(J7,'yi-üfe-dikey'!A:B,2,0)</f>
        <v>3659.84</v>
      </c>
      <c r="M7" s="60">
        <f>VLOOKUP(K7,'yi-üfe-dikey'!A:B,2,0)</f>
        <v>3746.52</v>
      </c>
      <c r="N7" s="61">
        <f t="shared" si="3"/>
        <v>1.0236799999999999</v>
      </c>
      <c r="O7" s="62">
        <f t="shared" si="0"/>
        <v>1023680</v>
      </c>
      <c r="P7" s="26">
        <f t="shared" si="4"/>
        <v>23680</v>
      </c>
      <c r="Z7" s="27"/>
      <c r="AA7" s="27"/>
      <c r="AD7" s="27"/>
      <c r="AE7" s="27"/>
      <c r="AF7" s="27"/>
    </row>
    <row r="8" spans="2:32">
      <c r="B8" s="63" t="str">
        <f t="shared" si="1"/>
        <v>500</v>
      </c>
      <c r="C8" s="4" t="s">
        <v>175</v>
      </c>
      <c r="D8" s="4" t="s">
        <v>114</v>
      </c>
      <c r="E8" s="4" t="s">
        <v>557</v>
      </c>
      <c r="F8" s="64" t="str">
        <f>VLOOKUP(E8,$AB$1:$AC$6,2,0)</f>
        <v>endekslenecek</v>
      </c>
      <c r="G8" s="5">
        <v>45387</v>
      </c>
      <c r="H8" s="65">
        <f>'yi-üfe-dikey'!$E$6</f>
        <v>45657</v>
      </c>
      <c r="I8" s="6">
        <v>1900000</v>
      </c>
      <c r="J8" s="59" t="str">
        <f>IF(G8&lt;='yi-üfe-dikey'!$E$5,'yi-üfe-dikey'!$F$4,YEAR(G8)&amp;TEXT((MONTH(G8)),"00"))</f>
        <v>202409</v>
      </c>
      <c r="K8" s="59" t="str">
        <f t="shared" si="2"/>
        <v>202412</v>
      </c>
      <c r="L8" s="60">
        <f>VLOOKUP(J8,'yi-üfe-dikey'!A:B,2,0)</f>
        <v>3659.84</v>
      </c>
      <c r="M8" s="60">
        <f>VLOOKUP(K8,'yi-üfe-dikey'!A:B,2,0)</f>
        <v>3746.52</v>
      </c>
      <c r="N8" s="61">
        <f>IF(F8="endekslenecek",ROUND(M8/L8,5),0)</f>
        <v>1.0236799999999999</v>
      </c>
      <c r="O8" s="62">
        <f t="shared" si="0"/>
        <v>1944992</v>
      </c>
      <c r="P8" s="26">
        <f t="shared" si="4"/>
        <v>44992</v>
      </c>
      <c r="Z8" s="27"/>
      <c r="AA8" s="27"/>
      <c r="AD8" s="27"/>
      <c r="AE8" s="27"/>
      <c r="AF8" s="27"/>
    </row>
    <row r="9" spans="2:32">
      <c r="B9" s="63"/>
      <c r="C9" s="4"/>
      <c r="D9" s="4"/>
      <c r="E9" s="4"/>
      <c r="G9" s="5"/>
      <c r="H9" s="65"/>
      <c r="I9" s="25">
        <f>SUM(I4:I8)</f>
        <v>5000000</v>
      </c>
      <c r="J9" s="59"/>
      <c r="K9" s="59"/>
      <c r="L9" s="60"/>
      <c r="M9" s="60"/>
      <c r="N9" s="61"/>
      <c r="O9" s="70">
        <f>SUM(O4:O8)</f>
        <v>5118400</v>
      </c>
      <c r="P9" s="34">
        <f>SUM(P4:P8)</f>
        <v>118400</v>
      </c>
      <c r="Z9" s="27"/>
      <c r="AA9" s="27"/>
      <c r="AD9" s="27"/>
      <c r="AE9" s="27"/>
      <c r="AF9" s="27"/>
    </row>
    <row r="10" spans="2:32">
      <c r="Z10" s="27"/>
      <c r="AA10" s="27"/>
      <c r="AD10" s="27"/>
      <c r="AE10" s="27"/>
      <c r="AF10" s="27"/>
    </row>
    <row r="11" spans="2:32">
      <c r="B11" s="63" t="str">
        <f t="shared" ref="B11:B12" si="5">LEFT(C11,3)</f>
        <v>502</v>
      </c>
      <c r="C11" s="4" t="s">
        <v>672</v>
      </c>
      <c r="D11" s="4" t="s">
        <v>715</v>
      </c>
      <c r="E11" s="4" t="s">
        <v>717</v>
      </c>
      <c r="F11" s="64" t="str">
        <f>VLOOKUP(E11,$AB$1:$AC$6,2,0)</f>
        <v>endekslenecek</v>
      </c>
      <c r="G11" s="5">
        <v>45291</v>
      </c>
      <c r="H11" s="65">
        <f>'yi-üfe-dikey'!$E$6</f>
        <v>45657</v>
      </c>
      <c r="I11" s="6">
        <v>100000</v>
      </c>
      <c r="J11" s="59" t="str">
        <f>IF(G11&lt;='yi-üfe-dikey'!$E$5,'yi-üfe-dikey'!$F$4,YEAR(G11)&amp;TEXT((MONTH(G11)),"00"))</f>
        <v>202409</v>
      </c>
      <c r="K11" s="59" t="str">
        <f t="shared" ref="K11:K12" si="6">YEAR(H11)&amp;TEXT((MONTH(H11)),"00")</f>
        <v>202412</v>
      </c>
      <c r="L11" s="60">
        <f>VLOOKUP(J11,'yi-üfe-dikey'!A:B,2,0)</f>
        <v>3659.84</v>
      </c>
      <c r="M11" s="60">
        <f>VLOOKUP(K11,'yi-üfe-dikey'!A:B,2,0)</f>
        <v>3746.52</v>
      </c>
      <c r="N11" s="61">
        <f t="shared" ref="N11" si="7">IF(F11="endekslenecek",ROUND(M11/L11,5),1)</f>
        <v>1.0236799999999999</v>
      </c>
      <c r="O11" s="62">
        <f t="shared" ref="O11:O12" si="8">ROUND(I11*N11,2)</f>
        <v>102368</v>
      </c>
      <c r="P11" s="26">
        <f t="shared" ref="P11:P12" si="9">+O11-I11</f>
        <v>2368</v>
      </c>
      <c r="Z11" s="27"/>
      <c r="AA11" s="27"/>
      <c r="AD11" s="27"/>
      <c r="AE11" s="27"/>
      <c r="AF11" s="27"/>
    </row>
    <row r="12" spans="2:32">
      <c r="B12" s="63" t="str">
        <f t="shared" si="5"/>
        <v>502</v>
      </c>
      <c r="C12" s="4" t="s">
        <v>714</v>
      </c>
      <c r="D12" s="4" t="s">
        <v>716</v>
      </c>
      <c r="E12" s="4" t="s">
        <v>717</v>
      </c>
      <c r="F12" s="64" t="str">
        <f>VLOOKUP(E12,$AB$1:$AC$6,2,0)</f>
        <v>endekslenecek</v>
      </c>
      <c r="G12" s="5">
        <v>45291</v>
      </c>
      <c r="H12" s="65">
        <f>'yi-üfe-dikey'!$E$6</f>
        <v>45657</v>
      </c>
      <c r="I12" s="6">
        <v>100000</v>
      </c>
      <c r="J12" s="59" t="str">
        <f>IF(G12&lt;='yi-üfe-dikey'!$E$5,'yi-üfe-dikey'!$F$4,YEAR(G12)&amp;TEXT((MONTH(G12)),"00"))</f>
        <v>202409</v>
      </c>
      <c r="K12" s="59" t="str">
        <f t="shared" si="6"/>
        <v>202412</v>
      </c>
      <c r="L12" s="60">
        <f>VLOOKUP(J12,'yi-üfe-dikey'!A:B,2,0)</f>
        <v>3659.84</v>
      </c>
      <c r="M12" s="60">
        <f>VLOOKUP(K12,'yi-üfe-dikey'!A:B,2,0)</f>
        <v>3746.52</v>
      </c>
      <c r="N12" s="61">
        <f>IF(F12="endekslenecek",ROUND(M12/L12,5),0)</f>
        <v>1.0236799999999999</v>
      </c>
      <c r="O12" s="62">
        <f t="shared" si="8"/>
        <v>102368</v>
      </c>
      <c r="P12" s="26">
        <f t="shared" si="9"/>
        <v>2368</v>
      </c>
      <c r="Z12" s="27"/>
      <c r="AA12" s="27"/>
      <c r="AD12" s="27"/>
      <c r="AE12" s="27"/>
      <c r="AF12" s="27"/>
    </row>
    <row r="13" spans="2:32">
      <c r="I13" s="25">
        <f>SUM(I11:I12)</f>
        <v>200000</v>
      </c>
      <c r="J13" s="59"/>
      <c r="K13" s="59"/>
      <c r="L13" s="60"/>
      <c r="M13" s="60"/>
      <c r="N13" s="61"/>
      <c r="O13" s="70">
        <f>SUM(O11:O12)</f>
        <v>204736</v>
      </c>
      <c r="P13" s="34">
        <f>SUM(P11:P12)</f>
        <v>4736</v>
      </c>
      <c r="AA13" s="27"/>
      <c r="AD13" s="27"/>
      <c r="AE13" s="2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16"/>
  <dataValidations count="1">
    <dataValidation type="list" allowBlank="1" showInputMessage="1" showErrorMessage="1" sqref="E4:E95">
      <formula1>$AB$1:$AB$6</formula1>
    </dataValidation>
  </dataValidations>
  <hyperlinks>
    <hyperlink ref="P2" r:id="rId1"/>
  </hyperlinks>
  <pageMargins left="0.70866141732283472" right="0.70866141732283472" top="0.74803149606299213" bottom="0.74803149606299213" header="0.31496062992125984" footer="0.31496062992125984"/>
  <pageSetup paperSize="9" scale="5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1"/>
  <sheetViews>
    <sheetView workbookViewId="0">
      <selection activeCell="E22" sqref="E22"/>
    </sheetView>
  </sheetViews>
  <sheetFormatPr defaultColWidth="9" defaultRowHeight="14.25"/>
  <cols>
    <col min="1" max="1" width="2.46484375" style="17" customWidth="1"/>
    <col min="2" max="2" width="6" style="64" customWidth="1"/>
    <col min="3" max="3" width="11" style="17" customWidth="1"/>
    <col min="4" max="4" width="27.86328125" style="17" customWidth="1"/>
    <col min="5" max="5" width="16.1328125" style="6" customWidth="1"/>
    <col min="6" max="6" width="11" style="17" customWidth="1"/>
    <col min="7" max="7" width="13.6640625" style="64" customWidth="1"/>
    <col min="8" max="8" width="12.46484375" style="63" customWidth="1"/>
    <col min="9" max="9" width="13.1328125" style="63" bestFit="1" customWidth="1"/>
    <col min="10" max="10" width="12.53125" style="64" customWidth="1"/>
    <col min="11" max="11" width="13.1328125" style="64" bestFit="1" customWidth="1"/>
    <col min="12" max="12" width="9.53125" style="64" bestFit="1" customWidth="1"/>
    <col min="13" max="13" width="13.46484375" style="64" customWidth="1"/>
    <col min="14" max="14" width="13.6640625" style="24" customWidth="1"/>
    <col min="15" max="16384" width="9" style="17"/>
  </cols>
  <sheetData>
    <row r="1" spans="2:14" s="10" customFormat="1">
      <c r="B1" s="55"/>
      <c r="E1" s="23"/>
      <c r="G1" s="55"/>
      <c r="H1" s="54"/>
      <c r="I1" s="54"/>
      <c r="J1" s="55"/>
      <c r="K1" s="55"/>
      <c r="L1" s="55"/>
      <c r="M1" s="55"/>
      <c r="N1" s="46" t="s">
        <v>663</v>
      </c>
    </row>
    <row r="2" spans="2:14" s="10" customFormat="1">
      <c r="B2" s="55"/>
      <c r="E2" s="23"/>
      <c r="G2" s="55"/>
      <c r="H2" s="54"/>
      <c r="I2" s="54"/>
      <c r="J2" s="55"/>
      <c r="K2" s="55"/>
      <c r="L2" s="55"/>
      <c r="M2" s="55"/>
      <c r="N2" s="47" t="s">
        <v>662</v>
      </c>
    </row>
    <row r="3" spans="2:14" ht="39.4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144</v>
      </c>
      <c r="G3" s="67" t="s">
        <v>153</v>
      </c>
      <c r="H3" s="56" t="s">
        <v>152</v>
      </c>
      <c r="I3" s="56" t="s">
        <v>154</v>
      </c>
      <c r="J3" s="56" t="s">
        <v>152</v>
      </c>
      <c r="K3" s="56" t="s">
        <v>154</v>
      </c>
      <c r="L3" s="57" t="s">
        <v>150</v>
      </c>
      <c r="M3" s="58" t="s">
        <v>151</v>
      </c>
      <c r="N3" s="29" t="s">
        <v>155</v>
      </c>
    </row>
    <row r="4" spans="2:14">
      <c r="B4" s="63" t="str">
        <f>LEFT(C4,3)</f>
        <v>525</v>
      </c>
      <c r="C4" s="4" t="s">
        <v>652</v>
      </c>
      <c r="D4" s="4" t="s">
        <v>653</v>
      </c>
      <c r="E4" s="6">
        <v>309524.33</v>
      </c>
      <c r="F4" s="5">
        <v>45291</v>
      </c>
      <c r="G4" s="65">
        <f>'yi-üfe-dikey'!$E$6</f>
        <v>45657</v>
      </c>
      <c r="H4" s="59" t="str">
        <f>IF(F4&lt;='yi-üfe-dikey'!$E$5,'yi-üfe-dikey'!$F$4,YEAR(F4)&amp;TEXT((MONTH(F4)),"00"))</f>
        <v>202409</v>
      </c>
      <c r="I4" s="59" t="str">
        <f t="shared" ref="I4" si="0">YEAR(G4)&amp;TEXT((MONTH(G4)),"00")</f>
        <v>202412</v>
      </c>
      <c r="J4" s="60">
        <f>VLOOKUP(H4,'yi-üfe-dikey'!A:B,2,0)</f>
        <v>3659.84</v>
      </c>
      <c r="K4" s="60">
        <f>VLOOKUP(I4,'yi-üfe-dikey'!A:B,2,0)</f>
        <v>3746.52</v>
      </c>
      <c r="L4" s="61">
        <f>ROUND(K4/J4,5)</f>
        <v>1.0236799999999999</v>
      </c>
      <c r="M4" s="62">
        <f t="shared" ref="M4" si="1">ROUND(E4*L4,2)</f>
        <v>316853.87</v>
      </c>
      <c r="N4" s="26">
        <f t="shared" ref="N4" si="2">+M4-E4</f>
        <v>7329.539999999979</v>
      </c>
    </row>
    <row r="5" spans="2:14">
      <c r="B5" s="63"/>
      <c r="C5" s="4"/>
      <c r="D5" s="4"/>
      <c r="F5" s="5"/>
      <c r="G5" s="65"/>
      <c r="H5" s="59"/>
      <c r="I5" s="59"/>
      <c r="J5" s="60"/>
      <c r="K5" s="60"/>
      <c r="L5" s="61"/>
      <c r="M5" s="62"/>
      <c r="N5" s="26"/>
    </row>
    <row r="6" spans="2:14">
      <c r="B6" s="63"/>
      <c r="C6" s="4"/>
      <c r="D6" s="4"/>
      <c r="F6" s="5"/>
      <c r="G6" s="65"/>
      <c r="H6" s="59"/>
      <c r="I6" s="59"/>
      <c r="J6" s="60"/>
      <c r="K6" s="60"/>
      <c r="L6" s="61"/>
      <c r="M6" s="62"/>
      <c r="N6" s="26"/>
    </row>
    <row r="7" spans="2:14">
      <c r="B7" s="63" t="str">
        <f>LEFT(C7,3)</f>
        <v>529</v>
      </c>
      <c r="C7" s="4" t="s">
        <v>358</v>
      </c>
      <c r="D7" s="4" t="s">
        <v>359</v>
      </c>
      <c r="E7" s="6">
        <v>485100</v>
      </c>
      <c r="F7" s="5">
        <v>45291</v>
      </c>
      <c r="G7" s="65">
        <f>'yi-üfe-dikey'!$E$6</f>
        <v>45657</v>
      </c>
      <c r="H7" s="59" t="str">
        <f>IF(F7&lt;='yi-üfe-dikey'!$E$5,'yi-üfe-dikey'!$F$4,YEAR(F7)&amp;TEXT((MONTH(F7)),"00"))</f>
        <v>202409</v>
      </c>
      <c r="I7" s="59" t="str">
        <f t="shared" ref="I7:I13" si="3">YEAR(G7)&amp;TEXT((MONTH(G7)),"00")</f>
        <v>202412</v>
      </c>
      <c r="J7" s="60">
        <f>VLOOKUP(H7,'yi-üfe-dikey'!A:B,2,0)</f>
        <v>3659.84</v>
      </c>
      <c r="K7" s="60">
        <f>VLOOKUP(I7,'yi-üfe-dikey'!A:B,2,0)</f>
        <v>3746.52</v>
      </c>
      <c r="L7" s="61">
        <f>ROUND(K7/J7,5)</f>
        <v>1.0236799999999999</v>
      </c>
      <c r="M7" s="62">
        <f t="shared" ref="M7:M13" si="4">ROUND(E7*L7,2)</f>
        <v>496587.17</v>
      </c>
      <c r="N7" s="26">
        <f t="shared" ref="N7:N13" si="5">+M7-E7</f>
        <v>11487.169999999984</v>
      </c>
    </row>
    <row r="8" spans="2:14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>
      <c r="B10" s="63" t="str">
        <f t="shared" ref="B10:B16" si="6">LEFT(C10,3)</f>
        <v>540</v>
      </c>
      <c r="C10" s="4" t="s">
        <v>360</v>
      </c>
      <c r="D10" s="4" t="s">
        <v>361</v>
      </c>
      <c r="E10" s="6">
        <v>583487.71</v>
      </c>
      <c r="F10" s="5">
        <v>45291</v>
      </c>
      <c r="G10" s="65">
        <f>'yi-üfe-dikey'!$E$6</f>
        <v>45657</v>
      </c>
      <c r="H10" s="59" t="str">
        <f>IF(F10&lt;='yi-üfe-dikey'!$E$5,'yi-üfe-dikey'!$F$4,YEAR(F10)&amp;TEXT((MONTH(F10)),"00"))</f>
        <v>202409</v>
      </c>
      <c r="I10" s="59" t="str">
        <f t="shared" si="3"/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ref="L10:L13" si="7">ROUND(K10/J10,5)</f>
        <v>1.0236799999999999</v>
      </c>
      <c r="M10" s="62">
        <f t="shared" si="4"/>
        <v>597304.69999999995</v>
      </c>
      <c r="N10" s="26">
        <f t="shared" si="5"/>
        <v>13816.989999999991</v>
      </c>
    </row>
    <row r="11" spans="2:14">
      <c r="B11" s="63"/>
      <c r="C11" s="4"/>
      <c r="D11" s="4"/>
      <c r="F11" s="5"/>
      <c r="G11" s="65"/>
      <c r="H11" s="59"/>
      <c r="I11" s="59"/>
      <c r="J11" s="60"/>
      <c r="K11" s="60"/>
      <c r="L11" s="61"/>
      <c r="M11" s="62"/>
      <c r="N11" s="26"/>
    </row>
    <row r="12" spans="2:14">
      <c r="B12" s="63"/>
      <c r="C12" s="4"/>
      <c r="D12" s="4"/>
      <c r="F12" s="5"/>
      <c r="G12" s="65"/>
      <c r="H12" s="59"/>
      <c r="I12" s="59"/>
      <c r="J12" s="60"/>
      <c r="K12" s="60"/>
      <c r="L12" s="61"/>
      <c r="M12" s="62"/>
      <c r="N12" s="26"/>
    </row>
    <row r="13" spans="2:14">
      <c r="B13" s="63" t="str">
        <f t="shared" si="6"/>
        <v>542</v>
      </c>
      <c r="C13" s="4" t="s">
        <v>648</v>
      </c>
      <c r="D13" s="4" t="s">
        <v>649</v>
      </c>
      <c r="E13" s="6">
        <v>181534.38</v>
      </c>
      <c r="F13" s="5">
        <v>45291</v>
      </c>
      <c r="G13" s="65">
        <f>'yi-üfe-dikey'!$E$6</f>
        <v>45657</v>
      </c>
      <c r="H13" s="59" t="str">
        <f>IF(F13&lt;='yi-üfe-dikey'!$E$5,'yi-üfe-dikey'!$F$4,YEAR(F13)&amp;TEXT((MONTH(F13)),"00"))</f>
        <v>202409</v>
      </c>
      <c r="I13" s="59" t="str">
        <f t="shared" si="3"/>
        <v>202412</v>
      </c>
      <c r="J13" s="60">
        <f>VLOOKUP(H13,'yi-üfe-dikey'!A:B,2,0)</f>
        <v>3659.84</v>
      </c>
      <c r="K13" s="60">
        <f>VLOOKUP(I13,'yi-üfe-dikey'!A:B,2,0)</f>
        <v>3746.52</v>
      </c>
      <c r="L13" s="61">
        <f t="shared" si="7"/>
        <v>1.0236799999999999</v>
      </c>
      <c r="M13" s="62">
        <f t="shared" si="4"/>
        <v>185833.11</v>
      </c>
      <c r="N13" s="26">
        <f t="shared" si="5"/>
        <v>4298.7299999999814</v>
      </c>
    </row>
    <row r="14" spans="2:14">
      <c r="B14" s="63"/>
      <c r="C14" s="4"/>
      <c r="D14" s="4"/>
      <c r="F14" s="5"/>
      <c r="G14" s="65"/>
      <c r="H14" s="59"/>
      <c r="I14" s="59"/>
      <c r="J14" s="60"/>
      <c r="K14" s="60"/>
      <c r="L14" s="61"/>
      <c r="M14" s="62"/>
      <c r="N14" s="26"/>
    </row>
    <row r="15" spans="2:14">
      <c r="B15" s="63"/>
      <c r="C15" s="4"/>
      <c r="D15" s="4"/>
      <c r="F15" s="5"/>
      <c r="G15" s="65"/>
      <c r="H15" s="59"/>
      <c r="I15" s="59"/>
      <c r="J15" s="60"/>
      <c r="K15" s="60"/>
      <c r="L15" s="61"/>
      <c r="M15" s="62"/>
      <c r="N15" s="26"/>
    </row>
    <row r="16" spans="2:14">
      <c r="B16" s="63" t="str">
        <f t="shared" si="6"/>
        <v>549</v>
      </c>
      <c r="C16" s="4" t="s">
        <v>650</v>
      </c>
      <c r="D16" s="4" t="s">
        <v>651</v>
      </c>
      <c r="E16" s="6">
        <v>500000</v>
      </c>
      <c r="F16" s="5">
        <v>45291</v>
      </c>
      <c r="G16" s="65">
        <f>'yi-üfe-dikey'!$E$6</f>
        <v>45657</v>
      </c>
      <c r="H16" s="59" t="str">
        <f>IF(F16&lt;='yi-üfe-dikey'!$E$5,'yi-üfe-dikey'!$F$4,YEAR(F16)&amp;TEXT((MONTH(F16)),"00"))</f>
        <v>202409</v>
      </c>
      <c r="I16" s="59" t="str">
        <f t="shared" ref="I16" si="8">YEAR(G16)&amp;TEXT((MONTH(G16)),"00")</f>
        <v>202412</v>
      </c>
      <c r="J16" s="60">
        <f>VLOOKUP(H16,'yi-üfe-dikey'!A:B,2,0)</f>
        <v>3659.84</v>
      </c>
      <c r="K16" s="60">
        <f>VLOOKUP(I16,'yi-üfe-dikey'!A:B,2,0)</f>
        <v>3746.52</v>
      </c>
      <c r="L16" s="61">
        <f t="shared" ref="L16" si="9">ROUND(K16/J16,5)</f>
        <v>1.0236799999999999</v>
      </c>
      <c r="M16" s="62">
        <f t="shared" ref="M16" si="10">ROUND(E16*L16,2)</f>
        <v>511840</v>
      </c>
      <c r="N16" s="26">
        <f t="shared" ref="N16" si="11">+M16-E16</f>
        <v>11840</v>
      </c>
    </row>
    <row r="17" spans="2:14">
      <c r="B17" s="63"/>
      <c r="C17" s="4"/>
      <c r="D17" s="4"/>
      <c r="F17" s="5"/>
      <c r="G17" s="65"/>
      <c r="H17" s="59"/>
      <c r="I17" s="59"/>
      <c r="J17" s="60"/>
      <c r="K17" s="60"/>
      <c r="L17" s="61"/>
      <c r="M17" s="62"/>
      <c r="N17" s="26"/>
    </row>
    <row r="18" spans="2:14">
      <c r="B18" s="63"/>
      <c r="C18" s="4"/>
      <c r="D18" s="4"/>
      <c r="F18" s="5"/>
      <c r="G18" s="65"/>
      <c r="H18" s="59"/>
      <c r="I18" s="59"/>
      <c r="J18" s="60"/>
      <c r="K18" s="60"/>
      <c r="L18" s="61"/>
      <c r="M18" s="62"/>
      <c r="N18" s="26"/>
    </row>
    <row r="19" spans="2:14">
      <c r="B19" s="63" t="str">
        <f t="shared" ref="B19" si="12">LEFT(C19,3)</f>
        <v>570</v>
      </c>
      <c r="C19" s="4" t="s">
        <v>655</v>
      </c>
      <c r="D19" s="4" t="s">
        <v>738</v>
      </c>
      <c r="E19" s="6">
        <v>34923653.850000001</v>
      </c>
      <c r="F19" s="5">
        <v>45291</v>
      </c>
      <c r="G19" s="65">
        <f>'yi-üfe-dikey'!$E$6</f>
        <v>45657</v>
      </c>
      <c r="H19" s="59" t="str">
        <f>IF(F19&lt;='yi-üfe-dikey'!$E$5,'yi-üfe-dikey'!$F$4,YEAR(F19)&amp;TEXT((MONTH(F19)),"00"))</f>
        <v>202409</v>
      </c>
      <c r="I19" s="59" t="str">
        <f t="shared" ref="I19" si="13">YEAR(G19)&amp;TEXT((MONTH(G19)),"00")</f>
        <v>202412</v>
      </c>
      <c r="J19" s="60">
        <f>VLOOKUP(H19,'yi-üfe-dikey'!A:B,2,0)</f>
        <v>3659.84</v>
      </c>
      <c r="K19" s="60">
        <f>VLOOKUP(I19,'yi-üfe-dikey'!A:B,2,0)</f>
        <v>3746.52</v>
      </c>
      <c r="L19" s="61">
        <f t="shared" ref="L19" si="14">ROUND(K19/J19,5)</f>
        <v>1.0236799999999999</v>
      </c>
      <c r="M19" s="62">
        <f t="shared" ref="M19" si="15">ROUND(E19*L19,2)</f>
        <v>35750645.969999999</v>
      </c>
      <c r="N19" s="26">
        <f t="shared" ref="N19" si="16">+M19-E19</f>
        <v>826992.11999999732</v>
      </c>
    </row>
    <row r="21" spans="2:14">
      <c r="B21" s="63" t="str">
        <f t="shared" ref="B21" si="17">LEFT(C21,3)</f>
        <v>580</v>
      </c>
      <c r="C21" s="4" t="s">
        <v>747</v>
      </c>
      <c r="D21" s="4" t="s">
        <v>738</v>
      </c>
      <c r="E21" s="6">
        <v>1000</v>
      </c>
      <c r="F21" s="5">
        <v>45291</v>
      </c>
      <c r="G21" s="65">
        <f>'yi-üfe-dikey'!$E$6</f>
        <v>45657</v>
      </c>
      <c r="H21" s="59" t="str">
        <f>IF(F21&lt;='yi-üfe-dikey'!$E$5,'yi-üfe-dikey'!$F$4,YEAR(F21)&amp;TEXT((MONTH(F21)),"00"))</f>
        <v>202409</v>
      </c>
      <c r="I21" s="59" t="str">
        <f t="shared" ref="I21" si="18">YEAR(G21)&amp;TEXT((MONTH(G21)),"00")</f>
        <v>202412</v>
      </c>
      <c r="J21" s="60">
        <f>VLOOKUP(H21,'yi-üfe-dikey'!A:B,2,0)</f>
        <v>3659.84</v>
      </c>
      <c r="K21" s="60">
        <f>VLOOKUP(I21,'yi-üfe-dikey'!A:B,2,0)</f>
        <v>3746.52</v>
      </c>
      <c r="L21" s="61">
        <f t="shared" ref="L21" si="19">ROUND(K21/J21,5)</f>
        <v>1.0236799999999999</v>
      </c>
      <c r="M21" s="62">
        <f t="shared" ref="M21" si="20">ROUND(E21*L21,2)</f>
        <v>1023.68</v>
      </c>
      <c r="N21" s="26">
        <f t="shared" ref="N21" si="21">+M21-E21</f>
        <v>23.67999999999995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8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201"/>
  <sheetViews>
    <sheetView topLeftCell="A175" workbookViewId="0">
      <selection activeCell="E189" sqref="E189"/>
    </sheetView>
  </sheetViews>
  <sheetFormatPr defaultColWidth="9" defaultRowHeight="14.25"/>
  <cols>
    <col min="1" max="1" width="3.1328125" style="17" customWidth="1"/>
    <col min="2" max="2" width="9.53125" style="64" customWidth="1"/>
    <col min="3" max="3" width="47.53125" style="64" customWidth="1"/>
    <col min="4" max="6" width="20.86328125" style="64" customWidth="1"/>
    <col min="7" max="16384" width="9" style="17"/>
  </cols>
  <sheetData>
    <row r="1" spans="2:6" s="10" customFormat="1">
      <c r="B1" s="55"/>
      <c r="C1" s="55"/>
      <c r="D1" s="55"/>
      <c r="E1" s="55"/>
      <c r="F1" s="46" t="s">
        <v>663</v>
      </c>
    </row>
    <row r="2" spans="2:6" s="10" customFormat="1">
      <c r="B2" s="55"/>
      <c r="C2" s="55"/>
      <c r="D2" s="55"/>
      <c r="E2" s="55"/>
      <c r="F2" s="47" t="s">
        <v>662</v>
      </c>
    </row>
    <row r="3" spans="2:6">
      <c r="D3" s="89" t="s">
        <v>671</v>
      </c>
      <c r="E3" s="89" t="s">
        <v>666</v>
      </c>
      <c r="F3" s="89" t="s">
        <v>670</v>
      </c>
    </row>
    <row r="4" spans="2:6">
      <c r="B4" s="92" t="s">
        <v>370</v>
      </c>
      <c r="C4" s="64" t="s">
        <v>0</v>
      </c>
      <c r="D4" s="60">
        <f>SUMIF(Mizan!$A:$A,$B4,Mizan!$F:$F)</f>
        <v>31214.42</v>
      </c>
      <c r="E4" s="60">
        <f>SUMIF('159-380-VB'!$B:$B,$B4,'159-380-VB'!$O:$O)</f>
        <v>0</v>
      </c>
      <c r="F4" s="60">
        <f>+D4+E4</f>
        <v>31214.42</v>
      </c>
    </row>
    <row r="5" spans="2:6">
      <c r="B5" s="92" t="s">
        <v>371</v>
      </c>
      <c r="C5" s="64" t="s">
        <v>1</v>
      </c>
      <c r="D5" s="60">
        <f>SUMIF(Mizan!$A:$A,$B5,Mizan!$F:$F)</f>
        <v>0</v>
      </c>
      <c r="E5" s="60">
        <f>SUMIF('159-380-VB'!$B:$B,$B5,'159-380-VB'!$O:$O)</f>
        <v>0</v>
      </c>
      <c r="F5" s="60">
        <f t="shared" ref="F5:F74" si="0">+D5+E5</f>
        <v>0</v>
      </c>
    </row>
    <row r="6" spans="2:6">
      <c r="B6" s="92" t="s">
        <v>372</v>
      </c>
      <c r="C6" s="64" t="s">
        <v>2</v>
      </c>
      <c r="D6" s="60">
        <f>SUMIF(Mizan!$A:$A,$B6,Mizan!$F:$F)</f>
        <v>110477.57</v>
      </c>
      <c r="E6" s="60">
        <f>SUMIF('159-380-VB'!$B:$B,$B6,'159-380-VB'!$O:$O)</f>
        <v>0</v>
      </c>
      <c r="F6" s="60">
        <f t="shared" si="0"/>
        <v>110477.57</v>
      </c>
    </row>
    <row r="7" spans="2:6">
      <c r="B7" s="92" t="s">
        <v>373</v>
      </c>
      <c r="C7" s="64" t="s">
        <v>3</v>
      </c>
      <c r="D7" s="60">
        <f>SUMIF(Mizan!$A:$A,$B7,Mizan!$F:$F)</f>
        <v>0</v>
      </c>
      <c r="E7" s="60">
        <f>SUMIF('159-380-VB'!$B:$B,$B7,'159-380-VB'!$O:$O)</f>
        <v>0</v>
      </c>
      <c r="F7" s="60">
        <f t="shared" si="0"/>
        <v>0</v>
      </c>
    </row>
    <row r="8" spans="2:6">
      <c r="B8" s="92" t="s">
        <v>374</v>
      </c>
      <c r="C8" s="64" t="s">
        <v>4</v>
      </c>
      <c r="D8" s="60">
        <f>SUMIF(Mizan!$A:$A,$B8,Mizan!$F:$F)</f>
        <v>0</v>
      </c>
      <c r="E8" s="60">
        <f>SUMIF('159-380-VB'!$B:$B,$B8,'159-380-VB'!$O:$O)</f>
        <v>0</v>
      </c>
      <c r="F8" s="60">
        <f t="shared" si="0"/>
        <v>0</v>
      </c>
    </row>
    <row r="9" spans="2:6">
      <c r="B9" s="92" t="s">
        <v>375</v>
      </c>
      <c r="C9" s="64" t="s">
        <v>5</v>
      </c>
      <c r="D9" s="60">
        <f>SUMIF(Mizan!$A:$A,$B9,Mizan!$F:$F)</f>
        <v>0</v>
      </c>
      <c r="E9" s="60">
        <f>SUMIF('159-380-VB'!$B:$B,$B9,'159-380-VB'!$O:$O)</f>
        <v>0</v>
      </c>
      <c r="F9" s="60">
        <f t="shared" si="0"/>
        <v>0</v>
      </c>
    </row>
    <row r="10" spans="2:6">
      <c r="B10" s="92" t="s">
        <v>376</v>
      </c>
      <c r="C10" s="64" t="s">
        <v>6</v>
      </c>
      <c r="D10" s="60">
        <f>SUMIF(Mizan!$A:$A,$B10,Mizan!$F:$F)</f>
        <v>0</v>
      </c>
      <c r="E10" s="60">
        <f>SUMIF('159-380-VB'!$B:$B,$B10,'159-380-VB'!$O:$O)</f>
        <v>0</v>
      </c>
      <c r="F10" s="60">
        <f t="shared" si="0"/>
        <v>0</v>
      </c>
    </row>
    <row r="11" spans="2:6">
      <c r="B11" s="92" t="s">
        <v>377</v>
      </c>
      <c r="C11" s="64" t="s">
        <v>7</v>
      </c>
      <c r="D11" s="60">
        <f>SUMIF(Mizan!$A:$A,$B11,Mizan!$F:$F)</f>
        <v>0</v>
      </c>
      <c r="E11" s="60">
        <f>SUMIF('159-380-VB'!$B:$B,$B11,'159-380-VB'!$O:$O)</f>
        <v>0</v>
      </c>
      <c r="F11" s="60">
        <f t="shared" si="0"/>
        <v>0</v>
      </c>
    </row>
    <row r="12" spans="2:6">
      <c r="B12" s="92" t="s">
        <v>378</v>
      </c>
      <c r="C12" s="64" t="s">
        <v>8</v>
      </c>
      <c r="D12" s="60">
        <f>SUMIF(Mizan!$A:$A,$B12,Mizan!$F:$F)</f>
        <v>0</v>
      </c>
      <c r="E12" s="60">
        <f>SUMIF('159-380-VB'!$B:$B,$B12,'159-380-VB'!$O:$O)</f>
        <v>0</v>
      </c>
      <c r="F12" s="60">
        <f t="shared" si="0"/>
        <v>0</v>
      </c>
    </row>
    <row r="13" spans="2:6">
      <c r="B13" s="92" t="s">
        <v>379</v>
      </c>
      <c r="C13" s="64" t="s">
        <v>9</v>
      </c>
      <c r="D13" s="60">
        <f>SUMIF(Mizan!$A:$A,$B13,Mizan!$F:$F)</f>
        <v>0</v>
      </c>
      <c r="E13" s="60">
        <f>SUMIF('159-380-VB'!$B:$B,$B13,'159-380-VB'!$O:$O)</f>
        <v>0</v>
      </c>
      <c r="F13" s="60">
        <f t="shared" si="0"/>
        <v>0</v>
      </c>
    </row>
    <row r="14" spans="2:6">
      <c r="B14" s="92" t="s">
        <v>380</v>
      </c>
      <c r="C14" s="64" t="s">
        <v>10</v>
      </c>
      <c r="D14" s="60">
        <f>SUMIF(Mizan!$A:$A,$B14,Mizan!$F:$F)</f>
        <v>341112.38</v>
      </c>
      <c r="E14" s="60">
        <f>SUMIF('159-380-VB'!$B:$B,$B14,'159-380-VB'!$O:$O)</f>
        <v>0</v>
      </c>
      <c r="F14" s="60">
        <f t="shared" si="0"/>
        <v>341112.38</v>
      </c>
    </row>
    <row r="15" spans="2:6">
      <c r="B15" s="92" t="s">
        <v>381</v>
      </c>
      <c r="C15" s="64" t="s">
        <v>11</v>
      </c>
      <c r="D15" s="60">
        <f>SUMIF(Mizan!$A:$A,$B15,Mizan!$F:$F)</f>
        <v>1779177</v>
      </c>
      <c r="E15" s="60">
        <f>SUMIF('159-380-VB'!$B:$B,$B15,'159-380-VB'!$O:$O)</f>
        <v>0</v>
      </c>
      <c r="F15" s="60">
        <f t="shared" si="0"/>
        <v>1779177</v>
      </c>
    </row>
    <row r="16" spans="2:6">
      <c r="B16" s="92" t="s">
        <v>382</v>
      </c>
      <c r="C16" s="64" t="s">
        <v>12</v>
      </c>
      <c r="D16" s="60">
        <f>SUMIF(Mizan!$A:$A,$B16,Mizan!$F:$F)</f>
        <v>0</v>
      </c>
      <c r="E16" s="60">
        <f>SUMIF('159-380-VB'!$B:$B,$B16,'159-380-VB'!$O:$O)</f>
        <v>0</v>
      </c>
      <c r="F16" s="60">
        <f t="shared" si="0"/>
        <v>0</v>
      </c>
    </row>
    <row r="17" spans="2:6">
      <c r="B17" s="92" t="s">
        <v>383</v>
      </c>
      <c r="C17" s="64" t="s">
        <v>131</v>
      </c>
      <c r="D17" s="60">
        <f>SUMIF(Mizan!$A:$A,$B17,Mizan!$F:$F)</f>
        <v>0</v>
      </c>
      <c r="E17" s="60">
        <f>SUMIF('159-380-VB'!$B:$B,$B17,'159-380-VB'!$O:$O)</f>
        <v>0</v>
      </c>
      <c r="F17" s="60">
        <f t="shared" si="0"/>
        <v>0</v>
      </c>
    </row>
    <row r="18" spans="2:6">
      <c r="B18" s="92" t="s">
        <v>384</v>
      </c>
      <c r="C18" s="64" t="s">
        <v>13</v>
      </c>
      <c r="D18" s="60">
        <f>SUMIF(Mizan!$A:$A,$B18,Mizan!$F:$F)</f>
        <v>0</v>
      </c>
      <c r="E18" s="60">
        <f>SUMIF('159-380-VB'!$B:$B,$B18,'159-380-VB'!$O:$O)</f>
        <v>0</v>
      </c>
      <c r="F18" s="60">
        <f t="shared" si="0"/>
        <v>0</v>
      </c>
    </row>
    <row r="19" spans="2:6">
      <c r="B19" s="92" t="s">
        <v>553</v>
      </c>
      <c r="C19" s="64" t="s">
        <v>204</v>
      </c>
      <c r="D19" s="60">
        <f>SUMIF(Mizan!$A:$A,$B19,Mizan!$F:$F)</f>
        <v>50026.65</v>
      </c>
      <c r="E19" s="60">
        <f>SUMIF('159-380-VB'!$B:$B,$B19,'159-380-VB'!$O:$O)</f>
        <v>0</v>
      </c>
      <c r="F19" s="60">
        <f t="shared" si="0"/>
        <v>50026.65</v>
      </c>
    </row>
    <row r="20" spans="2:6">
      <c r="B20" s="92" t="s">
        <v>385</v>
      </c>
      <c r="C20" s="64" t="s">
        <v>14</v>
      </c>
      <c r="D20" s="60">
        <f>SUMIF(Mizan!$A:$A,$B20,Mizan!$F:$F)</f>
        <v>27979.38</v>
      </c>
      <c r="E20" s="60">
        <f>SUMIF('159-380-VB'!$B:$B,$B20,'159-380-VB'!$O:$O)</f>
        <v>0</v>
      </c>
      <c r="F20" s="60">
        <f t="shared" si="0"/>
        <v>27979.38</v>
      </c>
    </row>
    <row r="21" spans="2:6">
      <c r="B21" s="92" t="s">
        <v>386</v>
      </c>
      <c r="C21" s="64" t="s">
        <v>15</v>
      </c>
      <c r="D21" s="60">
        <f>SUMIF(Mizan!$A:$A,$B21,Mizan!$F:$F)</f>
        <v>-27979.38</v>
      </c>
      <c r="E21" s="60">
        <f>SUMIF('159-380-VB'!$B:$B,$B21,'159-380-VB'!$O:$O)</f>
        <v>0</v>
      </c>
      <c r="F21" s="60">
        <f t="shared" si="0"/>
        <v>-27979.38</v>
      </c>
    </row>
    <row r="22" spans="2:6">
      <c r="B22" s="92" t="s">
        <v>387</v>
      </c>
      <c r="C22" s="64" t="s">
        <v>16</v>
      </c>
      <c r="D22" s="60">
        <f>SUMIF(Mizan!$A:$A,$B22,Mizan!$F:$F)</f>
        <v>0</v>
      </c>
      <c r="E22" s="60">
        <f>SUMIF('159-380-VB'!$B:$B,$B22,'159-380-VB'!$O:$O)</f>
        <v>0</v>
      </c>
      <c r="F22" s="60">
        <f t="shared" si="0"/>
        <v>0</v>
      </c>
    </row>
    <row r="23" spans="2:6">
      <c r="B23" s="92" t="s">
        <v>388</v>
      </c>
      <c r="C23" s="64" t="s">
        <v>17</v>
      </c>
      <c r="D23" s="60">
        <f>SUMIF(Mizan!$A:$A,$B23,Mizan!$F:$F)</f>
        <v>0</v>
      </c>
      <c r="E23" s="60">
        <f>SUMIF('159-380-VB'!$B:$B,$B23,'159-380-VB'!$O:$O)</f>
        <v>0</v>
      </c>
      <c r="F23" s="60">
        <f t="shared" si="0"/>
        <v>0</v>
      </c>
    </row>
    <row r="24" spans="2:6">
      <c r="B24" s="92" t="s">
        <v>389</v>
      </c>
      <c r="C24" s="64" t="s">
        <v>18</v>
      </c>
      <c r="D24" s="60">
        <f>SUMIF(Mizan!$A:$A,$B24,Mizan!$F:$F)</f>
        <v>0</v>
      </c>
      <c r="E24" s="60">
        <f>SUMIF('159-380-VB'!$B:$B,$B24,'159-380-VB'!$O:$O)</f>
        <v>0</v>
      </c>
      <c r="F24" s="60">
        <f t="shared" si="0"/>
        <v>0</v>
      </c>
    </row>
    <row r="25" spans="2:6">
      <c r="B25" s="92" t="s">
        <v>390</v>
      </c>
      <c r="C25" s="64" t="s">
        <v>19</v>
      </c>
      <c r="D25" s="60">
        <f>SUMIF(Mizan!$A:$A,$B25,Mizan!$F:$F)</f>
        <v>0</v>
      </c>
      <c r="E25" s="60">
        <f>SUMIF('159-380-VB'!$B:$B,$B25,'159-380-VB'!$O:$O)</f>
        <v>0</v>
      </c>
      <c r="F25" s="60">
        <f t="shared" si="0"/>
        <v>0</v>
      </c>
    </row>
    <row r="26" spans="2:6">
      <c r="B26" s="92" t="s">
        <v>391</v>
      </c>
      <c r="C26" s="64" t="s">
        <v>20</v>
      </c>
      <c r="D26" s="60">
        <f>SUMIF(Mizan!$A:$A,$B26,Mizan!$F:$F)</f>
        <v>116753.25</v>
      </c>
      <c r="E26" s="60">
        <f>SUMIF('159-380-VB'!$B:$B,$B26,'159-380-VB'!$O:$O)</f>
        <v>0</v>
      </c>
      <c r="F26" s="60">
        <f t="shared" si="0"/>
        <v>116753.25</v>
      </c>
    </row>
    <row r="27" spans="2:6">
      <c r="B27" s="92" t="s">
        <v>392</v>
      </c>
      <c r="C27" s="64" t="s">
        <v>21</v>
      </c>
      <c r="D27" s="60">
        <f>SUMIF(Mizan!$A:$A,$B27,Mizan!$F:$F)</f>
        <v>0</v>
      </c>
      <c r="E27" s="60">
        <f>SUMIF('159-380-VB'!$B:$B,$B27,'159-380-VB'!$O:$O)</f>
        <v>0</v>
      </c>
      <c r="F27" s="60">
        <f t="shared" si="0"/>
        <v>0</v>
      </c>
    </row>
    <row r="28" spans="2:6">
      <c r="B28" s="92" t="s">
        <v>393</v>
      </c>
      <c r="C28" s="64" t="s">
        <v>22</v>
      </c>
      <c r="D28" s="60">
        <f>SUMIF(Mizan!$A:$A,$B28,Mizan!$F:$F)</f>
        <v>0</v>
      </c>
      <c r="E28" s="60">
        <f>SUMIF('159-380-VB'!$B:$B,$B28,'159-380-VB'!$O:$O)</f>
        <v>0</v>
      </c>
      <c r="F28" s="60">
        <f t="shared" si="0"/>
        <v>0</v>
      </c>
    </row>
    <row r="29" spans="2:6">
      <c r="B29" s="92" t="s">
        <v>394</v>
      </c>
      <c r="C29" s="64" t="s">
        <v>23</v>
      </c>
      <c r="D29" s="60">
        <f>SUMIF(Mizan!$A:$A,$B29,Mizan!$F:$F)</f>
        <v>0</v>
      </c>
      <c r="E29" s="60">
        <f>SUMIF('159-380-VB'!$B:$B,$B29,'159-380-VB'!$O:$O)</f>
        <v>0</v>
      </c>
      <c r="F29" s="60">
        <f t="shared" si="0"/>
        <v>0</v>
      </c>
    </row>
    <row r="30" spans="2:6">
      <c r="B30" s="92" t="s">
        <v>401</v>
      </c>
      <c r="C30" s="64" t="s">
        <v>30</v>
      </c>
      <c r="D30" s="60">
        <f>SUMIF(Mizan!$A:$A,$B30,Mizan!$F:$F)</f>
        <v>1030913.75</v>
      </c>
      <c r="E30" s="60">
        <f>SUMIF('159-380-VB'!$B:$B,$B30,'159-380-VB'!$O:$O)</f>
        <v>24412.029999999973</v>
      </c>
      <c r="F30" s="60">
        <f t="shared" si="0"/>
        <v>1055325.78</v>
      </c>
    </row>
    <row r="31" spans="2:6">
      <c r="B31" s="92" t="s">
        <v>403</v>
      </c>
      <c r="C31" s="64" t="s">
        <v>132</v>
      </c>
      <c r="D31" s="60">
        <f>SUMIF(Mizan!$A:$A,$B31,Mizan!$F:$F)</f>
        <v>0</v>
      </c>
      <c r="E31" s="60">
        <f>SUMIF('159-380-VB'!$B:$B,$B31,'159-380-VB'!$O:$O)</f>
        <v>0</v>
      </c>
      <c r="F31" s="60">
        <f>+D31+E31</f>
        <v>0</v>
      </c>
    </row>
    <row r="32" spans="2:6">
      <c r="B32" s="93"/>
      <c r="C32" s="71"/>
      <c r="D32" s="90"/>
      <c r="E32" s="90"/>
      <c r="F32" s="90"/>
    </row>
    <row r="33" spans="2:6">
      <c r="B33" s="92" t="s">
        <v>395</v>
      </c>
      <c r="C33" s="64" t="s">
        <v>24</v>
      </c>
      <c r="D33" s="60">
        <f>SUMIF(Mizan!$A:$A,$B33,Mizan!$F:$F)</f>
        <v>3882548.25</v>
      </c>
      <c r="E33" s="60">
        <f>SUMIF('15-G'!B:B,B33,'15-G'!P:P)+SUMIF('15-BO'!B:B,B33,'15-BO'!N:N)+SUMIF('15-HAO'!B:B,B33,'15-HAO'!T:T)</f>
        <v>87205.230000000098</v>
      </c>
      <c r="F33" s="60">
        <f t="shared" si="0"/>
        <v>3969753.48</v>
      </c>
    </row>
    <row r="34" spans="2:6">
      <c r="B34" s="92" t="s">
        <v>396</v>
      </c>
      <c r="C34" s="64" t="s">
        <v>25</v>
      </c>
      <c r="D34" s="60">
        <f>SUMIF(Mizan!$A:$A,$B34,Mizan!$F:$F)</f>
        <v>12415381.74</v>
      </c>
      <c r="E34" s="60">
        <f>SUMIF('15-G'!B:B,B34,'15-G'!P:P)+SUMIF('15-BO'!B:B,B34,'15-BO'!N:N)+SUMIF('15-HAO'!B:B,B34,'15-HAO'!T:T)</f>
        <v>145259.96999999951</v>
      </c>
      <c r="F34" s="60">
        <f t="shared" si="0"/>
        <v>12560641.709999999</v>
      </c>
    </row>
    <row r="35" spans="2:6">
      <c r="B35" s="92" t="s">
        <v>397</v>
      </c>
      <c r="C35" s="64" t="s">
        <v>26</v>
      </c>
      <c r="D35" s="60">
        <f>SUMIF(Mizan!$A:$A,$B35,Mizan!$F:$F)</f>
        <v>7350702.1500000004</v>
      </c>
      <c r="E35" s="60">
        <f>SUMIF('15-G'!B:B,B35,'15-G'!P:P)+SUMIF('15-BO'!B:B,B35,'15-BO'!N:N)+SUMIF('15-HAO'!B:B,B35,'15-HAO'!T:T)</f>
        <v>86003.220000000205</v>
      </c>
      <c r="F35" s="60">
        <f t="shared" si="0"/>
        <v>7436705.370000001</v>
      </c>
    </row>
    <row r="36" spans="2:6">
      <c r="B36" s="92" t="s">
        <v>398</v>
      </c>
      <c r="C36" s="64" t="s">
        <v>27</v>
      </c>
      <c r="D36" s="60">
        <f>SUMIF(Mizan!$A:$A,$B36,Mizan!$F:$F)</f>
        <v>166585.17000000001</v>
      </c>
      <c r="E36" s="60">
        <f>SUMIF('15-G'!B:B,B36,'15-G'!P:P)+SUMIF('15-BO'!B:B,B36,'15-BO'!N:N)+SUMIF('15-HAO'!B:B,B36,'15-HAO'!T:T)</f>
        <v>1949.0499999999847</v>
      </c>
      <c r="F36" s="60">
        <f t="shared" si="0"/>
        <v>168534.22</v>
      </c>
    </row>
    <row r="37" spans="2:6">
      <c r="B37" s="92" t="s">
        <v>399</v>
      </c>
      <c r="C37" s="64" t="s">
        <v>28</v>
      </c>
      <c r="D37" s="60">
        <f>SUMIF(Mizan!$A:$A,$B37,Mizan!$F:$F)</f>
        <v>115667.3</v>
      </c>
      <c r="E37" s="60">
        <f>SUMIF('15-G'!B:B,B37,'15-G'!P:P)+SUMIF('15-BO'!B:B,B37,'15-BO'!N:N)+SUMIF('15-HAO'!B:B,B37,'15-HAO'!T:T)</f>
        <v>1353.3000000000025</v>
      </c>
      <c r="F37" s="60">
        <f t="shared" si="0"/>
        <v>117020.6</v>
      </c>
    </row>
    <row r="38" spans="2:6">
      <c r="B38" s="92" t="s">
        <v>400</v>
      </c>
      <c r="C38" s="64" t="s">
        <v>29</v>
      </c>
      <c r="D38" s="60">
        <f>SUMIF(Mizan!$A:$A,$B38,Mizan!$F:$F)</f>
        <v>0</v>
      </c>
      <c r="E38" s="60">
        <f>SUMIF('15-G'!B:B,B38,'15-G'!P:P)+SUMIF('15-BO'!B:B,B38,'15-BO'!N:N)+SUMIF('15-HAO'!B:B,B38,'15-HAO'!T:T)</f>
        <v>0</v>
      </c>
      <c r="F38" s="60">
        <f t="shared" si="0"/>
        <v>0</v>
      </c>
    </row>
    <row r="39" spans="2:6">
      <c r="B39" s="93"/>
      <c r="C39" s="71"/>
      <c r="D39" s="90"/>
      <c r="E39" s="90"/>
      <c r="F39" s="90"/>
    </row>
    <row r="40" spans="2:6">
      <c r="B40" s="92" t="s">
        <v>402</v>
      </c>
      <c r="C40" s="64" t="s">
        <v>140</v>
      </c>
      <c r="D40" s="60">
        <f>SUMIF(Mizan!$A:$A,$B40,Mizan!$F:$F)</f>
        <v>0</v>
      </c>
      <c r="E40" s="60">
        <f>SUMIF('170-350'!B:B,B40,'170-350'!N:N)</f>
        <v>28416</v>
      </c>
      <c r="F40" s="60">
        <f t="shared" si="0"/>
        <v>28416</v>
      </c>
    </row>
    <row r="41" spans="2:6">
      <c r="B41" s="92" t="s">
        <v>493</v>
      </c>
      <c r="C41" s="64" t="s">
        <v>141</v>
      </c>
      <c r="D41" s="60">
        <f>SUMIF(Mizan!$A:$A,$B41,Mizan!$F:$F)</f>
        <v>0</v>
      </c>
      <c r="E41" s="60">
        <f>-SUMIF('170-350'!B:B,B41,'170-350'!N:N)</f>
        <v>-49728</v>
      </c>
      <c r="F41" s="60">
        <f t="shared" si="0"/>
        <v>-49728</v>
      </c>
    </row>
    <row r="42" spans="2:6">
      <c r="B42" s="92" t="s">
        <v>741</v>
      </c>
      <c r="D42" s="60">
        <f>SUMIF(Mizan!$A:$A,$B42,Mizan!$F:$F)</f>
        <v>0</v>
      </c>
      <c r="E42" s="60">
        <f>-E41-E40</f>
        <v>21312</v>
      </c>
      <c r="F42" s="60">
        <f t="shared" ref="F42" si="1">+D42+E42</f>
        <v>21312</v>
      </c>
    </row>
    <row r="43" spans="2:6">
      <c r="B43" s="93"/>
      <c r="C43" s="71"/>
      <c r="D43" s="90"/>
      <c r="E43" s="90"/>
      <c r="F43" s="90"/>
    </row>
    <row r="44" spans="2:6">
      <c r="B44" s="92" t="s">
        <v>404</v>
      </c>
      <c r="C44" s="64" t="s">
        <v>31</v>
      </c>
      <c r="D44" s="60">
        <f>SUMIF(Mizan!$A:$A,$B44,Mizan!$F:$F)</f>
        <v>70851.490000000005</v>
      </c>
      <c r="E44" s="60">
        <f>SUMIF('159-380-VB'!$B:$B,$B44,'159-380-VB'!$O:$O)</f>
        <v>1677.7700000000013</v>
      </c>
      <c r="F44" s="60">
        <f t="shared" si="0"/>
        <v>72529.260000000009</v>
      </c>
    </row>
    <row r="45" spans="2:6">
      <c r="B45" s="92" t="s">
        <v>405</v>
      </c>
      <c r="C45" s="64" t="s">
        <v>32</v>
      </c>
      <c r="D45" s="60">
        <f>SUMIF(Mizan!$A:$A,$B45,Mizan!$F:$F)</f>
        <v>0</v>
      </c>
      <c r="E45" s="60">
        <f>SUMIF('159-380-VB'!$B:$B,$B45,'159-380-VB'!$O:$O)</f>
        <v>0</v>
      </c>
      <c r="F45" s="60">
        <f t="shared" si="0"/>
        <v>0</v>
      </c>
    </row>
    <row r="46" spans="2:6">
      <c r="B46" s="92" t="s">
        <v>406</v>
      </c>
      <c r="C46" s="64" t="s">
        <v>133</v>
      </c>
      <c r="D46" s="60">
        <f>SUMIF(Mizan!$A:$A,$B46,Mizan!$F:$F)</f>
        <v>5128458.33</v>
      </c>
      <c r="E46" s="60">
        <f>SUMIF('159-380-VB'!$B:$B,$B46,'159-380-VB'!$O:$O)</f>
        <v>0</v>
      </c>
      <c r="F46" s="60">
        <f t="shared" si="0"/>
        <v>5128458.33</v>
      </c>
    </row>
    <row r="47" spans="2:6">
      <c r="B47" s="92" t="s">
        <v>407</v>
      </c>
      <c r="C47" s="64" t="s">
        <v>33</v>
      </c>
      <c r="D47" s="60">
        <f>SUMIF(Mizan!$A:$A,$B47,Mizan!$F:$F)</f>
        <v>0</v>
      </c>
      <c r="E47" s="60">
        <f>SUMIF('159-380-VB'!$B:$B,$B47,'159-380-VB'!$O:$O)</f>
        <v>0</v>
      </c>
      <c r="F47" s="60">
        <f t="shared" si="0"/>
        <v>0</v>
      </c>
    </row>
    <row r="48" spans="2:6">
      <c r="B48" s="92" t="s">
        <v>408</v>
      </c>
      <c r="C48" s="64" t="s">
        <v>34</v>
      </c>
      <c r="D48" s="60">
        <f>SUMIF(Mizan!$A:$A,$B48,Mizan!$F:$F)</f>
        <v>2735055.16</v>
      </c>
      <c r="E48" s="60">
        <f>SUMIF('159-380-VB'!$B:$B,$B48,'159-380-VB'!$O:$O)</f>
        <v>0</v>
      </c>
      <c r="F48" s="60">
        <f t="shared" si="0"/>
        <v>2735055.16</v>
      </c>
    </row>
    <row r="49" spans="2:6">
      <c r="B49" s="92" t="s">
        <v>409</v>
      </c>
      <c r="C49" s="64" t="s">
        <v>35</v>
      </c>
      <c r="D49" s="60">
        <f>SUMIF(Mizan!$A:$A,$B49,Mizan!$F:$F)</f>
        <v>0</v>
      </c>
      <c r="E49" s="60">
        <f>SUMIF('159-380-VB'!$B:$B,$B49,'159-380-VB'!$O:$O)</f>
        <v>0</v>
      </c>
      <c r="F49" s="60">
        <f t="shared" si="0"/>
        <v>0</v>
      </c>
    </row>
    <row r="50" spans="2:6">
      <c r="B50" s="92" t="s">
        <v>410</v>
      </c>
      <c r="C50" s="64" t="s">
        <v>134</v>
      </c>
      <c r="D50" s="60">
        <f>SUMIF(Mizan!$A:$A,$B50,Mizan!$F:$F)</f>
        <v>1365.27</v>
      </c>
      <c r="E50" s="60">
        <f>SUMIF('159-380-VB'!$B:$B,$B50,'159-380-VB'!$O:$O)</f>
        <v>0</v>
      </c>
      <c r="F50" s="60">
        <f t="shared" si="0"/>
        <v>1365.27</v>
      </c>
    </row>
    <row r="51" spans="2:6">
      <c r="B51" s="92" t="s">
        <v>411</v>
      </c>
      <c r="C51" s="64" t="s">
        <v>36</v>
      </c>
      <c r="D51" s="60">
        <f>SUMIF(Mizan!$A:$A,$B51,Mizan!$F:$F)</f>
        <v>0</v>
      </c>
      <c r="E51" s="60">
        <f>SUMIF('159-380-VB'!$B:$B,$B51,'159-380-VB'!$O:$O)</f>
        <v>0</v>
      </c>
      <c r="F51" s="60">
        <f t="shared" si="0"/>
        <v>0</v>
      </c>
    </row>
    <row r="52" spans="2:6">
      <c r="B52" s="92" t="s">
        <v>412</v>
      </c>
      <c r="C52" s="64" t="s">
        <v>37</v>
      </c>
      <c r="D52" s="60">
        <f>SUMIF(Mizan!$A:$A,$B52,Mizan!$F:$F)</f>
        <v>0</v>
      </c>
      <c r="E52" s="60">
        <f>SUMIF('159-380-VB'!$B:$B,$B52,'159-380-VB'!$O:$O)</f>
        <v>0</v>
      </c>
      <c r="F52" s="60">
        <f t="shared" si="0"/>
        <v>0</v>
      </c>
    </row>
    <row r="53" spans="2:6">
      <c r="B53" s="92" t="s">
        <v>413</v>
      </c>
      <c r="C53" s="64" t="s">
        <v>38</v>
      </c>
      <c r="D53" s="60">
        <f>SUMIF(Mizan!$A:$A,$B53,Mizan!$F:$F)</f>
        <v>0</v>
      </c>
      <c r="E53" s="60">
        <f>SUMIF('159-380-VB'!$B:$B,$B53,'159-380-VB'!$O:$O)</f>
        <v>0</v>
      </c>
      <c r="F53" s="60">
        <f t="shared" si="0"/>
        <v>0</v>
      </c>
    </row>
    <row r="54" spans="2:6">
      <c r="B54" s="92" t="s">
        <v>414</v>
      </c>
      <c r="C54" s="64" t="s">
        <v>39</v>
      </c>
      <c r="D54" s="60">
        <f>SUMIF(Mizan!$A:$A,$B54,Mizan!$F:$F)</f>
        <v>0</v>
      </c>
      <c r="E54" s="60">
        <f>SUMIF('159-380-VB'!$B:$B,$B54,'159-380-VB'!$O:$O)</f>
        <v>0</v>
      </c>
      <c r="F54" s="60">
        <f t="shared" si="0"/>
        <v>0</v>
      </c>
    </row>
    <row r="55" spans="2:6">
      <c r="B55" s="92" t="s">
        <v>415</v>
      </c>
      <c r="C55" s="64" t="s">
        <v>10</v>
      </c>
      <c r="D55" s="60">
        <f>SUMIF(Mizan!$A:$A,$B55,Mizan!$F:$F)</f>
        <v>0</v>
      </c>
      <c r="E55" s="60">
        <f>SUMIF('159-380-VB'!$B:$B,$B55,'159-380-VB'!$O:$O)</f>
        <v>0</v>
      </c>
      <c r="F55" s="60">
        <f t="shared" si="0"/>
        <v>0</v>
      </c>
    </row>
    <row r="56" spans="2:6">
      <c r="B56" s="92" t="s">
        <v>416</v>
      </c>
      <c r="C56" s="64" t="s">
        <v>11</v>
      </c>
      <c r="D56" s="60">
        <f>SUMIF(Mizan!$A:$A,$B56,Mizan!$F:$F)</f>
        <v>0</v>
      </c>
      <c r="E56" s="60">
        <f>SUMIF('159-380-VB'!$B:$B,$B56,'159-380-VB'!$O:$O)</f>
        <v>0</v>
      </c>
      <c r="F56" s="60">
        <f t="shared" si="0"/>
        <v>0</v>
      </c>
    </row>
    <row r="57" spans="2:6">
      <c r="B57" s="92" t="s">
        <v>417</v>
      </c>
      <c r="C57" s="64" t="s">
        <v>12</v>
      </c>
      <c r="D57" s="60">
        <f>SUMIF(Mizan!$A:$A,$B57,Mizan!$F:$F)</f>
        <v>0</v>
      </c>
      <c r="E57" s="60">
        <f>SUMIF('159-380-VB'!$B:$B,$B57,'159-380-VB'!$O:$O)</f>
        <v>0</v>
      </c>
      <c r="F57" s="60">
        <f t="shared" si="0"/>
        <v>0</v>
      </c>
    </row>
    <row r="58" spans="2:6">
      <c r="B58" s="92" t="s">
        <v>418</v>
      </c>
      <c r="C58" s="64" t="s">
        <v>131</v>
      </c>
      <c r="D58" s="60">
        <f>SUMIF(Mizan!$A:$A,$B58,Mizan!$F:$F)</f>
        <v>0</v>
      </c>
      <c r="E58" s="60">
        <f>SUMIF('159-380-VB'!$B:$B,$B58,'159-380-VB'!$O:$O)</f>
        <v>0</v>
      </c>
      <c r="F58" s="60">
        <f t="shared" si="0"/>
        <v>0</v>
      </c>
    </row>
    <row r="59" spans="2:6">
      <c r="B59" s="92" t="s">
        <v>419</v>
      </c>
      <c r="C59" s="64" t="s">
        <v>13</v>
      </c>
      <c r="D59" s="60">
        <f>SUMIF(Mizan!$A:$A,$B59,Mizan!$F:$F)</f>
        <v>0</v>
      </c>
      <c r="E59" s="60">
        <f>SUMIF('159-380-VB'!$B:$B,$B59,'159-380-VB'!$O:$O)</f>
        <v>0</v>
      </c>
      <c r="F59" s="60">
        <f t="shared" si="0"/>
        <v>0</v>
      </c>
    </row>
    <row r="60" spans="2:6">
      <c r="B60" s="92" t="s">
        <v>420</v>
      </c>
      <c r="C60" s="64" t="s">
        <v>40</v>
      </c>
      <c r="D60" s="60">
        <f>SUMIF(Mizan!$A:$A,$B60,Mizan!$F:$F)</f>
        <v>0</v>
      </c>
      <c r="E60" s="60">
        <f>SUMIF('159-380-VB'!$B:$B,$B60,'159-380-VB'!$O:$O)</f>
        <v>0</v>
      </c>
      <c r="F60" s="60">
        <f t="shared" si="0"/>
        <v>0</v>
      </c>
    </row>
    <row r="61" spans="2:6">
      <c r="B61" s="92" t="s">
        <v>421</v>
      </c>
      <c r="C61" s="64" t="s">
        <v>16</v>
      </c>
      <c r="D61" s="60">
        <f>SUMIF(Mizan!$A:$A,$B61,Mizan!$F:$F)</f>
        <v>0</v>
      </c>
      <c r="E61" s="60">
        <f>SUMIF('159-380-VB'!$B:$B,$B61,'159-380-VB'!$O:$O)</f>
        <v>0</v>
      </c>
      <c r="F61" s="60">
        <f t="shared" si="0"/>
        <v>0</v>
      </c>
    </row>
    <row r="62" spans="2:6">
      <c r="B62" s="92" t="s">
        <v>422</v>
      </c>
      <c r="C62" s="64" t="s">
        <v>17</v>
      </c>
      <c r="D62" s="60">
        <f>SUMIF(Mizan!$A:$A,$B62,Mizan!$F:$F)</f>
        <v>0</v>
      </c>
      <c r="E62" s="60">
        <f>SUMIF('159-380-VB'!$B:$B,$B62,'159-380-VB'!$O:$O)</f>
        <v>0</v>
      </c>
      <c r="F62" s="60">
        <f t="shared" si="0"/>
        <v>0</v>
      </c>
    </row>
    <row r="63" spans="2:6">
      <c r="B63" s="92" t="s">
        <v>423</v>
      </c>
      <c r="C63" s="64" t="s">
        <v>18</v>
      </c>
      <c r="D63" s="60">
        <f>SUMIF(Mizan!$A:$A,$B63,Mizan!$F:$F)</f>
        <v>0</v>
      </c>
      <c r="E63" s="60">
        <f>SUMIF('159-380-VB'!$B:$B,$B63,'159-380-VB'!$O:$O)</f>
        <v>0</v>
      </c>
      <c r="F63" s="60">
        <f t="shared" si="0"/>
        <v>0</v>
      </c>
    </row>
    <row r="64" spans="2:6">
      <c r="B64" s="92" t="s">
        <v>424</v>
      </c>
      <c r="C64" s="64" t="s">
        <v>19</v>
      </c>
      <c r="D64" s="60">
        <f>SUMIF(Mizan!$A:$A,$B64,Mizan!$F:$F)</f>
        <v>0</v>
      </c>
      <c r="E64" s="60">
        <f>SUMIF('159-380-VB'!$B:$B,$B64,'159-380-VB'!$O:$O)</f>
        <v>0</v>
      </c>
      <c r="F64" s="60">
        <f t="shared" si="0"/>
        <v>0</v>
      </c>
    </row>
    <row r="65" spans="2:6">
      <c r="B65" s="92" t="s">
        <v>425</v>
      </c>
      <c r="C65" s="64" t="s">
        <v>20</v>
      </c>
      <c r="D65" s="60">
        <f>SUMIF(Mizan!$A:$A,$B65,Mizan!$F:$F)</f>
        <v>0</v>
      </c>
      <c r="E65" s="60">
        <f>SUMIF('159-380-VB'!$B:$B,$B65,'159-380-VB'!$O:$O)</f>
        <v>0</v>
      </c>
      <c r="F65" s="60">
        <f t="shared" si="0"/>
        <v>0</v>
      </c>
    </row>
    <row r="66" spans="2:6">
      <c r="B66" s="92" t="s">
        <v>426</v>
      </c>
      <c r="C66" s="64" t="s">
        <v>21</v>
      </c>
      <c r="D66" s="60">
        <f>SUMIF(Mizan!$A:$A,$B66,Mizan!$F:$F)</f>
        <v>0</v>
      </c>
      <c r="E66" s="60">
        <f>SUMIF('159-380-VB'!$B:$B,$B66,'159-380-VB'!$O:$O)</f>
        <v>0</v>
      </c>
      <c r="F66" s="60">
        <f t="shared" si="0"/>
        <v>0</v>
      </c>
    </row>
    <row r="67" spans="2:6">
      <c r="B67" s="92" t="s">
        <v>427</v>
      </c>
      <c r="C67" s="64" t="s">
        <v>23</v>
      </c>
      <c r="D67" s="60">
        <f>SUMIF(Mizan!$A:$A,$B67,Mizan!$F:$F)</f>
        <v>0</v>
      </c>
      <c r="E67" s="60">
        <f>SUMIF('159-380-VB'!$B:$B,$B67,'159-380-VB'!$O:$O)</f>
        <v>0</v>
      </c>
      <c r="F67" s="60">
        <f t="shared" si="0"/>
        <v>0</v>
      </c>
    </row>
    <row r="68" spans="2:6">
      <c r="B68" s="93"/>
      <c r="C68" s="71"/>
      <c r="D68" s="90"/>
      <c r="E68" s="90"/>
      <c r="F68" s="90"/>
    </row>
    <row r="69" spans="2:6">
      <c r="B69" s="92" t="s">
        <v>428</v>
      </c>
      <c r="C69" s="64" t="s">
        <v>41</v>
      </c>
      <c r="D69" s="60">
        <f>SUMIF(Mizan!$A:$A,$B69,Mizan!$F:$F)</f>
        <v>0</v>
      </c>
      <c r="E69" s="60">
        <f>SUMIF('240-249'!$B:$B,$B69,'240-249'!$O:$O)</f>
        <v>0</v>
      </c>
      <c r="F69" s="60">
        <f t="shared" si="0"/>
        <v>0</v>
      </c>
    </row>
    <row r="70" spans="2:6">
      <c r="B70" s="92" t="s">
        <v>429</v>
      </c>
      <c r="C70" s="64" t="s">
        <v>42</v>
      </c>
      <c r="D70" s="60">
        <f>SUMIF(Mizan!$A:$A,$B70,Mizan!$F:$F)</f>
        <v>0</v>
      </c>
      <c r="E70" s="60">
        <f>SUMIF('240-249'!$B:$B,$B70,'240-249'!$O:$O)</f>
        <v>0</v>
      </c>
      <c r="F70" s="60">
        <f t="shared" si="0"/>
        <v>0</v>
      </c>
    </row>
    <row r="71" spans="2:6">
      <c r="B71" s="92" t="s">
        <v>430</v>
      </c>
      <c r="C71" s="64" t="s">
        <v>43</v>
      </c>
      <c r="D71" s="60">
        <f>SUMIF(Mizan!$A:$A,$B71,Mizan!$F:$F)</f>
        <v>0</v>
      </c>
      <c r="E71" s="60">
        <f>SUMIF('240-249'!$B:$B,$B71,'240-249'!$O:$O)</f>
        <v>23680</v>
      </c>
      <c r="F71" s="60">
        <f t="shared" si="0"/>
        <v>23680</v>
      </c>
    </row>
    <row r="72" spans="2:6">
      <c r="B72" s="92" t="s">
        <v>431</v>
      </c>
      <c r="C72" s="64" t="s">
        <v>44</v>
      </c>
      <c r="D72" s="60">
        <f>SUMIF(Mizan!$A:$A,$B72,Mizan!$F:$F)</f>
        <v>0</v>
      </c>
      <c r="E72" s="60">
        <f>SUMIF('240-249'!$B:$B,$B72,'240-249'!$O:$O)</f>
        <v>0</v>
      </c>
      <c r="F72" s="60">
        <f t="shared" si="0"/>
        <v>0</v>
      </c>
    </row>
    <row r="73" spans="2:6">
      <c r="B73" s="92" t="s">
        <v>432</v>
      </c>
      <c r="C73" s="64" t="s">
        <v>45</v>
      </c>
      <c r="D73" s="60">
        <f>SUMIF(Mizan!$A:$A,$B73,Mizan!$F:$F)</f>
        <v>0</v>
      </c>
      <c r="E73" s="60">
        <f>SUMIF('240-249'!$B:$B,$B73,'240-249'!$O:$O)</f>
        <v>0</v>
      </c>
      <c r="F73" s="60">
        <f t="shared" si="0"/>
        <v>0</v>
      </c>
    </row>
    <row r="74" spans="2:6">
      <c r="B74" s="92" t="s">
        <v>433</v>
      </c>
      <c r="C74" s="64" t="s">
        <v>46</v>
      </c>
      <c r="D74" s="60">
        <f>SUMIF(Mizan!$A:$A,$B74,Mizan!$F:$F)</f>
        <v>495000</v>
      </c>
      <c r="E74" s="60">
        <f>SUMIF('240-249'!$B:$B,$B74,'240-249'!$O:$O)</f>
        <v>229905</v>
      </c>
      <c r="F74" s="60">
        <f t="shared" si="0"/>
        <v>724905</v>
      </c>
    </row>
    <row r="75" spans="2:6">
      <c r="B75" s="92" t="s">
        <v>434</v>
      </c>
      <c r="C75" s="64" t="s">
        <v>47</v>
      </c>
      <c r="D75" s="60">
        <f>SUMIF(Mizan!$A:$A,$B75,Mizan!$F:$F)</f>
        <v>0</v>
      </c>
      <c r="E75" s="60">
        <f>SUMIF('240-249'!$B:$B,$B75,'240-249'!$O:$O)</f>
        <v>0</v>
      </c>
      <c r="F75" s="60">
        <f t="shared" ref="F75:F140" si="2">+D75+E75</f>
        <v>0</v>
      </c>
    </row>
    <row r="76" spans="2:6">
      <c r="B76" s="92" t="s">
        <v>435</v>
      </c>
      <c r="C76" s="64" t="s">
        <v>48</v>
      </c>
      <c r="D76" s="60">
        <f>SUMIF(Mizan!$A:$A,$B76,Mizan!$F:$F)</f>
        <v>0</v>
      </c>
      <c r="E76" s="60">
        <f>SUMIF('240-249'!$B:$B,$B76,'240-249'!$O:$O)</f>
        <v>0</v>
      </c>
      <c r="F76" s="60">
        <f t="shared" si="2"/>
        <v>0</v>
      </c>
    </row>
    <row r="77" spans="2:6">
      <c r="B77" s="92" t="s">
        <v>436</v>
      </c>
      <c r="C77" s="64" t="s">
        <v>49</v>
      </c>
      <c r="D77" s="60">
        <f>SUMIF(Mizan!$A:$A,$B77,Mizan!$F:$F)</f>
        <v>0</v>
      </c>
      <c r="E77" s="60">
        <f>SUMIF('240-249'!$B:$B,$B77,'240-249'!$O:$O)</f>
        <v>0</v>
      </c>
      <c r="F77" s="60">
        <f t="shared" si="2"/>
        <v>0</v>
      </c>
    </row>
    <row r="78" spans="2:6">
      <c r="B78" s="92" t="s">
        <v>437</v>
      </c>
      <c r="C78" s="64" t="s">
        <v>50</v>
      </c>
      <c r="D78" s="60">
        <f>SUMIF(Mizan!$A:$A,$B78,Mizan!$F:$F)</f>
        <v>0</v>
      </c>
      <c r="E78" s="60">
        <f>SUMIF('240-249'!$B:$B,$B78,'240-249'!$O:$O)</f>
        <v>0</v>
      </c>
      <c r="F78" s="60">
        <f t="shared" si="2"/>
        <v>0</v>
      </c>
    </row>
    <row r="79" spans="2:6">
      <c r="B79" s="93"/>
      <c r="C79" s="71"/>
      <c r="D79" s="90"/>
      <c r="E79" s="90"/>
      <c r="F79" s="90"/>
    </row>
    <row r="80" spans="2:6">
      <c r="B80" s="92" t="s">
        <v>438</v>
      </c>
      <c r="C80" s="64" t="s">
        <v>51</v>
      </c>
      <c r="D80" s="60">
        <f>SUMIF(Mizan!$A:$A,$B80,Mizan!$F:$F)</f>
        <v>3843708.49</v>
      </c>
      <c r="E80" s="60">
        <f>SUMIF('250-270'!$B:$B,$B80,'250-270'!$R:$R)</f>
        <v>0</v>
      </c>
      <c r="F80" s="60">
        <f t="shared" si="2"/>
        <v>3843708.49</v>
      </c>
    </row>
    <row r="81" spans="2:6">
      <c r="B81" s="92" t="s">
        <v>439</v>
      </c>
      <c r="C81" s="64" t="s">
        <v>52</v>
      </c>
      <c r="D81" s="60">
        <f>SUMIF(Mizan!$A:$A,$B81,Mizan!$F:$F)</f>
        <v>87715.93</v>
      </c>
      <c r="E81" s="60">
        <f>SUMIF('250-270'!$B:$B,$B81,'250-270'!$R:$R)</f>
        <v>0</v>
      </c>
      <c r="F81" s="60">
        <f t="shared" si="2"/>
        <v>87715.93</v>
      </c>
    </row>
    <row r="82" spans="2:6">
      <c r="B82" s="92" t="s">
        <v>440</v>
      </c>
      <c r="C82" s="64" t="s">
        <v>53</v>
      </c>
      <c r="D82" s="60">
        <f>SUMIF(Mizan!$A:$A,$B82,Mizan!$F:$F)</f>
        <v>117877644.05</v>
      </c>
      <c r="E82" s="60">
        <f>SUMIF('250-270'!$B:$B,$B82,'250-270'!$R:$R)</f>
        <v>0</v>
      </c>
      <c r="F82" s="60">
        <f t="shared" si="2"/>
        <v>117877644.05</v>
      </c>
    </row>
    <row r="83" spans="2:6">
      <c r="B83" s="92" t="s">
        <v>441</v>
      </c>
      <c r="C83" s="64" t="s">
        <v>54</v>
      </c>
      <c r="D83" s="60">
        <f>SUMIF(Mizan!$A:$A,$B83,Mizan!$F:$F)</f>
        <v>73729503.370000005</v>
      </c>
      <c r="E83" s="60">
        <f>SUMIF('250-270'!$B:$B,$B83,'250-270'!$R:$R)</f>
        <v>31067.469999999972</v>
      </c>
      <c r="F83" s="60">
        <f t="shared" si="2"/>
        <v>73760570.840000004</v>
      </c>
    </row>
    <row r="84" spans="2:6">
      <c r="B84" s="92" t="s">
        <v>442</v>
      </c>
      <c r="C84" s="64" t="s">
        <v>55</v>
      </c>
      <c r="D84" s="60">
        <f>SUMIF(Mizan!$A:$A,$B84,Mizan!$F:$F)</f>
        <v>9578546.3399999999</v>
      </c>
      <c r="E84" s="60">
        <f>SUMIF('250-270'!$B:$B,$B84,'250-270'!$R:$R)</f>
        <v>16576</v>
      </c>
      <c r="F84" s="60">
        <f t="shared" si="2"/>
        <v>9595122.3399999999</v>
      </c>
    </row>
    <row r="85" spans="2:6">
      <c r="B85" s="92" t="s">
        <v>443</v>
      </c>
      <c r="C85" s="64" t="s">
        <v>56</v>
      </c>
      <c r="D85" s="60">
        <f>SUMIF(Mizan!$A:$A,$B85,Mizan!$F:$F)</f>
        <v>1686366.1</v>
      </c>
      <c r="E85" s="60">
        <f>SUMIF('250-270'!$B:$B,$B85,'250-270'!$R:$R)</f>
        <v>18944</v>
      </c>
      <c r="F85" s="60">
        <f t="shared" si="2"/>
        <v>1705310.1</v>
      </c>
    </row>
    <row r="86" spans="2:6">
      <c r="B86" s="92" t="s">
        <v>444</v>
      </c>
      <c r="C86" s="64" t="s">
        <v>57</v>
      </c>
      <c r="D86" s="60">
        <f>SUMIF(Mizan!$A:$A,$B86,Mizan!$F:$F)</f>
        <v>0</v>
      </c>
      <c r="E86" s="60">
        <f>SUMIF('250-270'!$B:$B,$B86,'250-270'!$R:$R)</f>
        <v>0</v>
      </c>
      <c r="F86" s="60">
        <f t="shared" si="2"/>
        <v>0</v>
      </c>
    </row>
    <row r="87" spans="2:6">
      <c r="B87" s="92" t="s">
        <v>445</v>
      </c>
      <c r="C87" s="64" t="s">
        <v>58</v>
      </c>
      <c r="D87" s="60">
        <f>SUMIF(Mizan!$A:$A,$B87,Mizan!$F:$F)</f>
        <v>-52353738.409999996</v>
      </c>
      <c r="E87" s="60">
        <f>-SUMIF('250-270'!A:A,25,'250-270'!T:T)</f>
        <v>-4645.9499999999953</v>
      </c>
      <c r="F87" s="60">
        <f t="shared" si="2"/>
        <v>-52358384.359999999</v>
      </c>
    </row>
    <row r="88" spans="2:6">
      <c r="B88" s="92" t="s">
        <v>446</v>
      </c>
      <c r="C88" s="64" t="s">
        <v>59</v>
      </c>
      <c r="D88" s="60">
        <f>SUMIF(Mizan!$A:$A,$B88,Mizan!$F:$F)</f>
        <v>0</v>
      </c>
      <c r="E88" s="60">
        <f>SUMIF('258'!$B:$B,$B88,'258'!$Q:$Q)</f>
        <v>0</v>
      </c>
      <c r="F88" s="60">
        <f t="shared" si="2"/>
        <v>0</v>
      </c>
    </row>
    <row r="89" spans="2:6">
      <c r="B89" s="92" t="s">
        <v>447</v>
      </c>
      <c r="C89" s="64" t="s">
        <v>60</v>
      </c>
      <c r="D89" s="60">
        <f>SUMIF(Mizan!$A:$A,$B89,Mizan!$F:$F)</f>
        <v>0</v>
      </c>
      <c r="E89" s="60">
        <f>SUMIF('159-380-VB'!$B:$B,$B89,'159-380-VB'!$O:$O)</f>
        <v>0</v>
      </c>
      <c r="F89" s="60">
        <f t="shared" si="2"/>
        <v>0</v>
      </c>
    </row>
    <row r="90" spans="2:6">
      <c r="B90" s="92" t="s">
        <v>448</v>
      </c>
      <c r="C90" s="64" t="s">
        <v>61</v>
      </c>
      <c r="D90" s="60">
        <f>SUMIF(Mizan!$A:$A,$B90,Mizan!$F:$F)</f>
        <v>1406075.88</v>
      </c>
      <c r="E90" s="60">
        <f>SUMIF('250-270'!$B:$B,$B90,'250-270'!$R:$R)</f>
        <v>4736</v>
      </c>
      <c r="F90" s="60">
        <f t="shared" si="2"/>
        <v>1410811.88</v>
      </c>
    </row>
    <row r="91" spans="2:6">
      <c r="B91" s="92" t="s">
        <v>449</v>
      </c>
      <c r="C91" s="64" t="s">
        <v>62</v>
      </c>
      <c r="D91" s="60">
        <f>SUMIF(Mizan!$A:$A,$B91,Mizan!$F:$F)</f>
        <v>0</v>
      </c>
      <c r="E91" s="60">
        <f>SUMIF('250-270'!$B:$B,$B91,'250-270'!$R:$R)</f>
        <v>0</v>
      </c>
      <c r="F91" s="60">
        <f t="shared" si="2"/>
        <v>0</v>
      </c>
    </row>
    <row r="92" spans="2:6">
      <c r="B92" s="92" t="s">
        <v>450</v>
      </c>
      <c r="C92" s="64" t="s">
        <v>63</v>
      </c>
      <c r="D92" s="60">
        <f>SUMIF(Mizan!$A:$A,$B92,Mizan!$F:$F)</f>
        <v>0</v>
      </c>
      <c r="E92" s="60">
        <f>SUMIF('250-270'!$B:$B,$B92,'250-270'!$R:$R)</f>
        <v>0</v>
      </c>
      <c r="F92" s="60">
        <f t="shared" si="2"/>
        <v>0</v>
      </c>
    </row>
    <row r="93" spans="2:6">
      <c r="B93" s="92" t="s">
        <v>451</v>
      </c>
      <c r="C93" s="64" t="s">
        <v>64</v>
      </c>
      <c r="D93" s="60">
        <f>SUMIF(Mizan!$A:$A,$B93,Mizan!$F:$F)</f>
        <v>65201.32</v>
      </c>
      <c r="E93" s="60">
        <f>SUMIF('250-270'!$B:$B,$B93,'250-270'!$R:$R)</f>
        <v>0</v>
      </c>
      <c r="F93" s="60">
        <f t="shared" si="2"/>
        <v>65201.32</v>
      </c>
    </row>
    <row r="94" spans="2:6">
      <c r="B94" s="92" t="s">
        <v>452</v>
      </c>
      <c r="C94" s="64" t="s">
        <v>65</v>
      </c>
      <c r="D94" s="60">
        <f>SUMIF(Mizan!$A:$A,$B94,Mizan!$F:$F)</f>
        <v>22582.92</v>
      </c>
      <c r="E94" s="60">
        <f>SUMIF('250-270'!$B:$B,$B94,'250-270'!$R:$R)</f>
        <v>0</v>
      </c>
      <c r="F94" s="60">
        <f t="shared" si="2"/>
        <v>22582.92</v>
      </c>
    </row>
    <row r="95" spans="2:6">
      <c r="B95" s="92" t="s">
        <v>453</v>
      </c>
      <c r="C95" s="64" t="s">
        <v>66</v>
      </c>
      <c r="D95" s="60">
        <f>SUMIF(Mizan!$A:$A,$B95,Mizan!$F:$F)</f>
        <v>453385.26</v>
      </c>
      <c r="E95" s="60">
        <f>SUMIF('250-270'!$B:$B,$B95,'250-270'!$R:$R)</f>
        <v>0</v>
      </c>
      <c r="F95" s="60">
        <f t="shared" si="2"/>
        <v>453385.26</v>
      </c>
    </row>
    <row r="96" spans="2:6">
      <c r="B96" s="92" t="s">
        <v>454</v>
      </c>
      <c r="C96" s="64" t="s">
        <v>58</v>
      </c>
      <c r="D96" s="60">
        <f>SUMIF(Mizan!$A:$A,$B96,Mizan!$F:$F)</f>
        <v>-653917.16</v>
      </c>
      <c r="E96" s="60">
        <f>-SUMIF('250-270'!A:A,26,'250-270'!T:T)</f>
        <v>-236.79999999999927</v>
      </c>
      <c r="F96" s="60">
        <f t="shared" si="2"/>
        <v>-654153.96000000008</v>
      </c>
    </row>
    <row r="97" spans="2:6">
      <c r="B97" s="92" t="s">
        <v>455</v>
      </c>
      <c r="C97" s="64" t="s">
        <v>60</v>
      </c>
      <c r="D97" s="60">
        <f>SUMIF(Mizan!$A:$A,$B97,Mizan!$F:$F)</f>
        <v>0</v>
      </c>
      <c r="E97" s="60">
        <f>SUMIF('250-270'!$B:$B,$B97,'250-270'!$R:$R)</f>
        <v>0</v>
      </c>
      <c r="F97" s="60">
        <f t="shared" si="2"/>
        <v>0</v>
      </c>
    </row>
    <row r="98" spans="2:6">
      <c r="B98" s="92" t="s">
        <v>456</v>
      </c>
      <c r="C98" s="64" t="s">
        <v>67</v>
      </c>
      <c r="D98" s="60">
        <f>SUMIF(Mizan!$A:$A,$B98,Mizan!$F:$F)</f>
        <v>0</v>
      </c>
      <c r="E98" s="60">
        <f>SUMIF('250-270'!$B:$B,$B98,'250-270'!$R:$R)</f>
        <v>0</v>
      </c>
      <c r="F98" s="60">
        <f t="shared" si="2"/>
        <v>0</v>
      </c>
    </row>
    <row r="99" spans="2:6">
      <c r="B99" s="92" t="s">
        <v>457</v>
      </c>
      <c r="C99" s="64" t="s">
        <v>68</v>
      </c>
      <c r="D99" s="60">
        <f>SUMIF(Mizan!$A:$A,$B99,Mizan!$F:$F)</f>
        <v>0</v>
      </c>
      <c r="E99" s="60">
        <f>SUMIF('250-270'!$B:$B,$B99,'250-270'!$R:$R)</f>
        <v>0</v>
      </c>
      <c r="F99" s="60">
        <f t="shared" si="2"/>
        <v>0</v>
      </c>
    </row>
    <row r="100" spans="2:6">
      <c r="B100" s="92" t="s">
        <v>458</v>
      </c>
      <c r="C100" s="64" t="s">
        <v>69</v>
      </c>
      <c r="D100" s="60">
        <f>SUMIF(Mizan!$A:$A,$B100,Mizan!$F:$F)</f>
        <v>0</v>
      </c>
      <c r="E100" s="60">
        <f>SUMIF('250-270'!$B:$B,$B100,'250-270'!$R:$R)</f>
        <v>0</v>
      </c>
      <c r="F100" s="60">
        <f t="shared" si="2"/>
        <v>0</v>
      </c>
    </row>
    <row r="101" spans="2:6">
      <c r="B101" s="92" t="s">
        <v>459</v>
      </c>
      <c r="C101" s="64" t="s">
        <v>70</v>
      </c>
      <c r="D101" s="60">
        <f>SUMIF(Mizan!$A:$A,$B101,Mizan!$F:$F)</f>
        <v>0</v>
      </c>
      <c r="E101" s="60">
        <f>-SUMIF('250-270'!A:A,27,'250-270'!T:T)</f>
        <v>0</v>
      </c>
      <c r="F101" s="60">
        <f t="shared" si="2"/>
        <v>0</v>
      </c>
    </row>
    <row r="102" spans="2:6">
      <c r="B102" s="92" t="s">
        <v>460</v>
      </c>
      <c r="C102" s="64" t="s">
        <v>60</v>
      </c>
      <c r="D102" s="60">
        <f>SUMIF(Mizan!$A:$A,$B102,Mizan!$F:$F)</f>
        <v>0</v>
      </c>
      <c r="E102" s="60">
        <f>SUMIF('250-270'!$B:$B,$B102,'250-270'!$R:$R)</f>
        <v>0</v>
      </c>
      <c r="F102" s="60">
        <f t="shared" si="2"/>
        <v>0</v>
      </c>
    </row>
    <row r="103" spans="2:6">
      <c r="B103" s="93"/>
      <c r="C103" s="71"/>
      <c r="D103" s="90"/>
      <c r="E103" s="90"/>
      <c r="F103" s="90"/>
    </row>
    <row r="104" spans="2:6">
      <c r="B104" s="92" t="s">
        <v>461</v>
      </c>
      <c r="C104" s="64" t="s">
        <v>71</v>
      </c>
      <c r="D104" s="60">
        <f>SUMIF(Mizan!$A:$A,$B104,Mizan!$F:$F)</f>
        <v>0</v>
      </c>
      <c r="E104" s="60">
        <f>SUMIF('159-380-VB'!$B:$B,$B104,'159-380-VB'!$O:$O)</f>
        <v>0</v>
      </c>
      <c r="F104" s="60">
        <f t="shared" si="2"/>
        <v>0</v>
      </c>
    </row>
    <row r="105" spans="2:6">
      <c r="B105" s="92" t="s">
        <v>462</v>
      </c>
      <c r="C105" s="64" t="s">
        <v>32</v>
      </c>
      <c r="D105" s="60">
        <f>SUMIF(Mizan!$A:$A,$B105,Mizan!$F:$F)</f>
        <v>0</v>
      </c>
      <c r="E105" s="60">
        <f>SUMIF('159-380-VB'!$B:$B,$B105,'159-380-VB'!$O:$O)</f>
        <v>0</v>
      </c>
      <c r="F105" s="60">
        <f t="shared" si="2"/>
        <v>0</v>
      </c>
    </row>
    <row r="106" spans="2:6">
      <c r="B106" s="92" t="s">
        <v>463</v>
      </c>
      <c r="C106" s="64" t="s">
        <v>72</v>
      </c>
      <c r="D106" s="60">
        <f>SUMIF(Mizan!$A:$A,$B106,Mizan!$F:$F)</f>
        <v>0</v>
      </c>
      <c r="E106" s="60">
        <f>SUMIF('159-380-VB'!$B:$B,$B106,'159-380-VB'!$O:$O)</f>
        <v>0</v>
      </c>
      <c r="F106" s="60">
        <f t="shared" si="2"/>
        <v>0</v>
      </c>
    </row>
    <row r="107" spans="2:6">
      <c r="B107" s="92" t="s">
        <v>464</v>
      </c>
      <c r="C107" s="64" t="s">
        <v>34</v>
      </c>
      <c r="D107" s="60">
        <f>SUMIF(Mizan!$A:$A,$B107,Mizan!$F:$F)</f>
        <v>0</v>
      </c>
      <c r="E107" s="60">
        <f>SUMIF('159-380-VB'!$B:$B,$B107,'159-380-VB'!$O:$O)</f>
        <v>0</v>
      </c>
      <c r="F107" s="60">
        <f t="shared" si="2"/>
        <v>0</v>
      </c>
    </row>
    <row r="108" spans="2:6">
      <c r="B108" s="92" t="s">
        <v>465</v>
      </c>
      <c r="C108" s="64" t="s">
        <v>73</v>
      </c>
      <c r="D108" s="60">
        <f>SUMIF(Mizan!$A:$A,$B108,Mizan!$F:$F)</f>
        <v>0</v>
      </c>
      <c r="E108" s="60">
        <f>SUMIF('159-380-VB'!$B:$B,$B108,'159-380-VB'!$O:$O)</f>
        <v>0</v>
      </c>
      <c r="F108" s="60">
        <f t="shared" si="2"/>
        <v>0</v>
      </c>
    </row>
    <row r="109" spans="2:6">
      <c r="B109" s="92" t="s">
        <v>466</v>
      </c>
      <c r="C109" s="64" t="s">
        <v>74</v>
      </c>
      <c r="D109" s="60">
        <f>SUMIF(Mizan!$A:$A,$B109,Mizan!$F:$F)</f>
        <v>0</v>
      </c>
      <c r="E109" s="60">
        <f>SUMIF('159-380-VB'!$B:$B,$B109,'159-380-VB'!$O:$O)</f>
        <v>0</v>
      </c>
      <c r="F109" s="60">
        <f t="shared" si="2"/>
        <v>0</v>
      </c>
    </row>
    <row r="110" spans="2:6">
      <c r="B110" s="92" t="s">
        <v>467</v>
      </c>
      <c r="C110" s="64" t="s">
        <v>35</v>
      </c>
      <c r="D110" s="60">
        <f>SUMIF(Mizan!$A:$A,$B110,Mizan!$F:$F)</f>
        <v>0</v>
      </c>
      <c r="E110" s="60">
        <f>SUMIF('159-380-VB'!$B:$B,$B110,'159-380-VB'!$O:$O)</f>
        <v>0</v>
      </c>
      <c r="F110" s="60">
        <f t="shared" si="2"/>
        <v>0</v>
      </c>
    </row>
    <row r="111" spans="2:6">
      <c r="B111" s="92" t="s">
        <v>468</v>
      </c>
      <c r="C111" s="64" t="s">
        <v>75</v>
      </c>
      <c r="D111" s="60">
        <f>SUMIF(Mizan!$A:$A,$B111,Mizan!$F:$F)</f>
        <v>0</v>
      </c>
      <c r="E111" s="60">
        <f>SUMIF('159-380-VB'!$B:$B,$B111,'159-380-VB'!$O:$O)</f>
        <v>0</v>
      </c>
      <c r="F111" s="60">
        <f t="shared" si="2"/>
        <v>0</v>
      </c>
    </row>
    <row r="112" spans="2:6">
      <c r="B112" s="92" t="s">
        <v>469</v>
      </c>
      <c r="C112" s="64" t="s">
        <v>29</v>
      </c>
      <c r="D112" s="60">
        <f>SUMIF(Mizan!$A:$A,$B112,Mizan!$F:$F)</f>
        <v>0</v>
      </c>
      <c r="E112" s="60">
        <f>SUMIF('159-380-VB'!$B:$B,$B112,'159-380-VB'!$O:$O)</f>
        <v>0</v>
      </c>
      <c r="F112" s="60">
        <f t="shared" si="2"/>
        <v>0</v>
      </c>
    </row>
    <row r="113" spans="2:6">
      <c r="B113" s="92" t="s">
        <v>470</v>
      </c>
      <c r="C113" s="64" t="s">
        <v>58</v>
      </c>
      <c r="D113" s="60">
        <f>SUMIF(Mizan!$A:$A,$B113,Mizan!$F:$F)</f>
        <v>0</v>
      </c>
      <c r="E113" s="60">
        <f>SUMIF('159-380-VB'!$B:$B,$B113,'159-380-VB'!$O:$O)</f>
        <v>0</v>
      </c>
      <c r="F113" s="60">
        <f t="shared" si="2"/>
        <v>0</v>
      </c>
    </row>
    <row r="114" spans="2:6">
      <c r="B114" s="93"/>
      <c r="C114" s="71"/>
      <c r="D114" s="90"/>
      <c r="E114" s="90"/>
      <c r="F114" s="90"/>
    </row>
    <row r="115" spans="2:6">
      <c r="B115" s="92" t="s">
        <v>471</v>
      </c>
      <c r="C115" s="64" t="s">
        <v>76</v>
      </c>
      <c r="D115" s="60">
        <f>SUMIF(Mizan!$A:$A,$B115,Mizan!$F:$F)</f>
        <v>-136090000</v>
      </c>
      <c r="E115" s="60">
        <f>-SUMIF('159-380-VB'!$B:$B,$B115,'159-380-VB'!$O:$O)</f>
        <v>0</v>
      </c>
      <c r="F115" s="60">
        <f t="shared" si="2"/>
        <v>-136090000</v>
      </c>
    </row>
    <row r="116" spans="2:6">
      <c r="B116" s="92" t="s">
        <v>472</v>
      </c>
      <c r="C116" s="64" t="s">
        <v>135</v>
      </c>
      <c r="D116" s="60">
        <f>SUMIF(Mizan!$A:$A,$B116,Mizan!$F:$F)</f>
        <v>0</v>
      </c>
      <c r="E116" s="60">
        <f>-SUMIF('159-380-VB'!$B:$B,$B116,'159-380-VB'!$O:$O)</f>
        <v>0</v>
      </c>
      <c r="F116" s="60">
        <f t="shared" si="2"/>
        <v>0</v>
      </c>
    </row>
    <row r="117" spans="2:6">
      <c r="B117" s="92" t="s">
        <v>473</v>
      </c>
      <c r="C117" s="64" t="s">
        <v>136</v>
      </c>
      <c r="D117" s="60">
        <f>SUMIF(Mizan!$A:$A,$B117,Mizan!$F:$F)</f>
        <v>0</v>
      </c>
      <c r="E117" s="60">
        <f>-SUMIF('159-380-VB'!$B:$B,$B117,'159-380-VB'!$O:$O)</f>
        <v>0</v>
      </c>
      <c r="F117" s="60">
        <f t="shared" si="2"/>
        <v>0</v>
      </c>
    </row>
    <row r="118" spans="2:6">
      <c r="B118" s="92" t="s">
        <v>474</v>
      </c>
      <c r="C118" s="64" t="s">
        <v>77</v>
      </c>
      <c r="D118" s="60">
        <f>SUMIF(Mizan!$A:$A,$B118,Mizan!$F:$F)</f>
        <v>-302982</v>
      </c>
      <c r="E118" s="60">
        <f>-SUMIF('159-380-VB'!$B:$B,$B118,'159-380-VB'!$O:$O)</f>
        <v>0</v>
      </c>
      <c r="F118" s="60">
        <f t="shared" si="2"/>
        <v>-302982</v>
      </c>
    </row>
    <row r="119" spans="2:6">
      <c r="B119" s="92" t="s">
        <v>475</v>
      </c>
      <c r="C119" s="64" t="s">
        <v>78</v>
      </c>
      <c r="D119" s="60">
        <f>SUMIF(Mizan!$A:$A,$B119,Mizan!$F:$F)</f>
        <v>0</v>
      </c>
      <c r="E119" s="60">
        <f>-SUMIF('159-380-VB'!$B:$B,$B119,'159-380-VB'!$O:$O)</f>
        <v>0</v>
      </c>
      <c r="F119" s="60">
        <f t="shared" si="2"/>
        <v>0</v>
      </c>
    </row>
    <row r="120" spans="2:6">
      <c r="B120" s="92" t="s">
        <v>476</v>
      </c>
      <c r="C120" s="64" t="s">
        <v>79</v>
      </c>
      <c r="D120" s="60">
        <f>SUMIF(Mizan!$A:$A,$B120,Mizan!$F:$F)</f>
        <v>0</v>
      </c>
      <c r="E120" s="60">
        <f>-SUMIF('159-380-VB'!$B:$B,$B120,'159-380-VB'!$O:$O)</f>
        <v>0</v>
      </c>
      <c r="F120" s="60">
        <f t="shared" si="2"/>
        <v>0</v>
      </c>
    </row>
    <row r="121" spans="2:6">
      <c r="B121" s="92" t="s">
        <v>477</v>
      </c>
      <c r="C121" s="64" t="s">
        <v>80</v>
      </c>
      <c r="D121" s="60">
        <f>SUMIF(Mizan!$A:$A,$B121,Mizan!$F:$F)</f>
        <v>0</v>
      </c>
      <c r="E121" s="60">
        <f>-SUMIF('159-380-VB'!$B:$B,$B121,'159-380-VB'!$O:$O)</f>
        <v>0</v>
      </c>
      <c r="F121" s="60">
        <f t="shared" si="2"/>
        <v>0</v>
      </c>
    </row>
    <row r="122" spans="2:6">
      <c r="B122" s="92" t="s">
        <v>478</v>
      </c>
      <c r="C122" s="64" t="s">
        <v>81</v>
      </c>
      <c r="D122" s="60">
        <f>SUMIF(Mizan!$A:$A,$B122,Mizan!$F:$F)</f>
        <v>0</v>
      </c>
      <c r="E122" s="60">
        <f>-SUMIF('159-380-VB'!$B:$B,$B122,'159-380-VB'!$O:$O)</f>
        <v>0</v>
      </c>
      <c r="F122" s="60">
        <f t="shared" si="2"/>
        <v>0</v>
      </c>
    </row>
    <row r="123" spans="2:6">
      <c r="B123" s="92" t="s">
        <v>479</v>
      </c>
      <c r="C123" s="64" t="s">
        <v>82</v>
      </c>
      <c r="D123" s="60">
        <f>SUMIF(Mizan!$A:$A,$B123,Mizan!$F:$F)</f>
        <v>-204929.78</v>
      </c>
      <c r="E123" s="60">
        <f>-SUMIF('159-380-VB'!$B:$B,$B123,'159-380-VB'!$O:$O)</f>
        <v>0</v>
      </c>
      <c r="F123" s="60">
        <f t="shared" si="2"/>
        <v>-204929.78</v>
      </c>
    </row>
    <row r="124" spans="2:6">
      <c r="B124" s="92" t="s">
        <v>480</v>
      </c>
      <c r="C124" s="64" t="s">
        <v>83</v>
      </c>
      <c r="D124" s="60">
        <f>SUMIF(Mizan!$A:$A,$B124,Mizan!$F:$F)</f>
        <v>-2594036.06</v>
      </c>
      <c r="E124" s="60">
        <f>-SUMIF('159-380-VB'!$B:$B,$B124,'159-380-VB'!$O:$O)</f>
        <v>0</v>
      </c>
      <c r="F124" s="60">
        <f t="shared" si="2"/>
        <v>-2594036.06</v>
      </c>
    </row>
    <row r="125" spans="2:6">
      <c r="B125" s="92" t="s">
        <v>481</v>
      </c>
      <c r="C125" s="64" t="s">
        <v>84</v>
      </c>
      <c r="D125" s="60">
        <f>SUMIF(Mizan!$A:$A,$B125,Mizan!$F:$F)</f>
        <v>0</v>
      </c>
      <c r="E125" s="60">
        <f>-SUMIF('159-380-VB'!$B:$B,$B125,'159-380-VB'!$O:$O)</f>
        <v>0</v>
      </c>
      <c r="F125" s="60">
        <f t="shared" si="2"/>
        <v>0</v>
      </c>
    </row>
    <row r="126" spans="2:6">
      <c r="B126" s="92" t="s">
        <v>482</v>
      </c>
      <c r="C126" s="64" t="s">
        <v>85</v>
      </c>
      <c r="D126" s="60">
        <f>SUMIF(Mizan!$A:$A,$B126,Mizan!$F:$F)</f>
        <v>0</v>
      </c>
      <c r="E126" s="60">
        <f>-SUMIF('159-380-VB'!$B:$B,$B126,'159-380-VB'!$O:$O)</f>
        <v>0</v>
      </c>
      <c r="F126" s="60">
        <f t="shared" si="2"/>
        <v>0</v>
      </c>
    </row>
    <row r="127" spans="2:6">
      <c r="B127" s="92" t="s">
        <v>483</v>
      </c>
      <c r="C127" s="64" t="s">
        <v>86</v>
      </c>
      <c r="D127" s="60">
        <f>SUMIF(Mizan!$A:$A,$B127,Mizan!$F:$F)</f>
        <v>0</v>
      </c>
      <c r="E127" s="60">
        <f>-SUMIF('159-380-VB'!$B:$B,$B127,'159-380-VB'!$O:$O)</f>
        <v>0</v>
      </c>
      <c r="F127" s="60">
        <f t="shared" si="2"/>
        <v>0</v>
      </c>
    </row>
    <row r="128" spans="2:6">
      <c r="B128" s="92" t="s">
        <v>484</v>
      </c>
      <c r="C128" s="64" t="s">
        <v>87</v>
      </c>
      <c r="D128" s="60">
        <f>SUMIF(Mizan!$A:$A,$B128,Mizan!$F:$F)</f>
        <v>0</v>
      </c>
      <c r="E128" s="60">
        <f>-SUMIF('159-380-VB'!$B:$B,$B128,'159-380-VB'!$O:$O)</f>
        <v>0</v>
      </c>
      <c r="F128" s="60">
        <f t="shared" si="2"/>
        <v>0</v>
      </c>
    </row>
    <row r="129" spans="2:6">
      <c r="B129" s="92" t="s">
        <v>485</v>
      </c>
      <c r="C129" s="64" t="s">
        <v>88</v>
      </c>
      <c r="D129" s="60">
        <f>SUMIF(Mizan!$A:$A,$B129,Mizan!$F:$F)</f>
        <v>0</v>
      </c>
      <c r="E129" s="60">
        <f>-SUMIF('159-380-VB'!$B:$B,$B129,'159-380-VB'!$O:$O)</f>
        <v>0</v>
      </c>
      <c r="F129" s="60">
        <f t="shared" si="2"/>
        <v>0</v>
      </c>
    </row>
    <row r="130" spans="2:6">
      <c r="B130" s="92" t="s">
        <v>486</v>
      </c>
      <c r="C130" s="64" t="s">
        <v>89</v>
      </c>
      <c r="D130" s="60">
        <f>SUMIF(Mizan!$A:$A,$B130,Mizan!$F:$F)</f>
        <v>0</v>
      </c>
      <c r="E130" s="60">
        <f>-SUMIF('159-380-VB'!$B:$B,$B130,'159-380-VB'!$O:$O)</f>
        <v>0</v>
      </c>
      <c r="F130" s="60">
        <f t="shared" si="2"/>
        <v>0</v>
      </c>
    </row>
    <row r="131" spans="2:6">
      <c r="B131" s="92" t="s">
        <v>487</v>
      </c>
      <c r="C131" s="64" t="s">
        <v>90</v>
      </c>
      <c r="D131" s="60">
        <f>SUMIF(Mizan!$A:$A,$B131,Mizan!$F:$F)</f>
        <v>0</v>
      </c>
      <c r="E131" s="60">
        <f>-SUMIF('159-380-VB'!$B:$B,$B131,'159-380-VB'!$O:$O)</f>
        <v>0</v>
      </c>
      <c r="F131" s="60">
        <f t="shared" si="2"/>
        <v>0</v>
      </c>
    </row>
    <row r="132" spans="2:6">
      <c r="B132" s="92" t="s">
        <v>488</v>
      </c>
      <c r="C132" s="64" t="s">
        <v>91</v>
      </c>
      <c r="D132" s="60">
        <f>SUMIF(Mizan!$A:$A,$B132,Mizan!$F:$F)</f>
        <v>-7566.27</v>
      </c>
      <c r="E132" s="60">
        <f>-SUMIF('159-380-VB'!$B:$B,$B132,'159-380-VB'!$O:$O)</f>
        <v>0</v>
      </c>
      <c r="F132" s="60">
        <f t="shared" si="2"/>
        <v>-7566.27</v>
      </c>
    </row>
    <row r="133" spans="2:6">
      <c r="B133" s="92" t="s">
        <v>552</v>
      </c>
      <c r="C133" s="64" t="s">
        <v>142</v>
      </c>
      <c r="D133" s="60">
        <f>SUMIF(Mizan!$A:$A,$B133,Mizan!$F:$F)</f>
        <v>-1407.53</v>
      </c>
      <c r="E133" s="60">
        <f>-SUMIF('159-380-VB'!$B:$B,$B133,'159-380-VB'!$O:$O)</f>
        <v>0</v>
      </c>
      <c r="F133" s="60">
        <f t="shared" si="2"/>
        <v>-1407.53</v>
      </c>
    </row>
    <row r="134" spans="2:6">
      <c r="B134" s="92" t="s">
        <v>489</v>
      </c>
      <c r="C134" s="64" t="s">
        <v>92</v>
      </c>
      <c r="D134" s="60">
        <f>SUMIF(Mizan!$A:$A,$B134,Mizan!$F:$F)</f>
        <v>0</v>
      </c>
      <c r="E134" s="60">
        <f>-SUMIF('159-380-VB'!$B:$B,$B134,'159-380-VB'!$O:$O)</f>
        <v>0</v>
      </c>
      <c r="F134" s="60">
        <f t="shared" si="2"/>
        <v>0</v>
      </c>
    </row>
    <row r="135" spans="2:6">
      <c r="B135" s="92" t="s">
        <v>490</v>
      </c>
      <c r="C135" s="64" t="s">
        <v>142</v>
      </c>
      <c r="D135" s="60">
        <f>SUMIF(Mizan!$A:$A,$B135,Mizan!$F:$F)</f>
        <v>0</v>
      </c>
      <c r="E135" s="60">
        <f>-SUMIF('159-380-VB'!$B:$B,$B135,'159-380-VB'!$O:$O)</f>
        <v>0</v>
      </c>
      <c r="F135" s="60">
        <f t="shared" si="2"/>
        <v>0</v>
      </c>
    </row>
    <row r="136" spans="2:6">
      <c r="B136" s="92" t="s">
        <v>491</v>
      </c>
      <c r="C136" s="64" t="s">
        <v>93</v>
      </c>
      <c r="D136" s="60">
        <f>SUMIF(Mizan!$A:$A,$B136,Mizan!$F:$F)</f>
        <v>-573.81999999999994</v>
      </c>
      <c r="E136" s="60">
        <f>-SUMIF('159-380-VB'!$B:$B,$B136,'159-380-VB'!$O:$O)</f>
        <v>-11366.400000000023</v>
      </c>
      <c r="F136" s="60">
        <f t="shared" si="2"/>
        <v>-11940.220000000023</v>
      </c>
    </row>
    <row r="137" spans="2:6">
      <c r="B137" s="92" t="s">
        <v>492</v>
      </c>
      <c r="C137" s="64" t="s">
        <v>94</v>
      </c>
      <c r="D137" s="60">
        <f>SUMIF(Mizan!$A:$A,$B137,Mizan!$F:$F)</f>
        <v>0</v>
      </c>
      <c r="E137" s="60">
        <f>-SUMIF('159-380-VB'!$B:$B,$B137,'159-380-VB'!$O:$O)</f>
        <v>0</v>
      </c>
      <c r="F137" s="60">
        <f t="shared" si="2"/>
        <v>0</v>
      </c>
    </row>
    <row r="138" spans="2:6">
      <c r="B138" s="92" t="s">
        <v>494</v>
      </c>
      <c r="C138" s="64" t="s">
        <v>95</v>
      </c>
      <c r="D138" s="60">
        <f>SUMIF(Mizan!$A:$A,$B138,Mizan!$F:$F)</f>
        <v>-1445442.03</v>
      </c>
      <c r="E138" s="60">
        <f>-SUMIF('159-380-VB'!$B:$B,$B138,'159-380-VB'!$O:$O)</f>
        <v>0</v>
      </c>
      <c r="F138" s="60">
        <f t="shared" si="2"/>
        <v>-1445442.03</v>
      </c>
    </row>
    <row r="139" spans="2:6">
      <c r="B139" s="92" t="s">
        <v>495</v>
      </c>
      <c r="C139" s="64" t="s">
        <v>96</v>
      </c>
      <c r="D139" s="60">
        <f>SUMIF(Mizan!$A:$A,$B139,Mizan!$F:$F)</f>
        <v>-840602.8</v>
      </c>
      <c r="E139" s="60">
        <f>-SUMIF('159-380-VB'!$B:$B,$B139,'159-380-VB'!$O:$O)</f>
        <v>0</v>
      </c>
      <c r="F139" s="60">
        <f t="shared" si="2"/>
        <v>-840602.8</v>
      </c>
    </row>
    <row r="140" spans="2:6">
      <c r="B140" s="92" t="s">
        <v>496</v>
      </c>
      <c r="C140" s="64" t="s">
        <v>97</v>
      </c>
      <c r="D140" s="60">
        <f>SUMIF(Mizan!$A:$A,$B140,Mizan!$F:$F)</f>
        <v>0</v>
      </c>
      <c r="E140" s="60">
        <f>-SUMIF('159-380-VB'!$B:$B,$B140,'159-380-VB'!$O:$O)</f>
        <v>0</v>
      </c>
      <c r="F140" s="60">
        <f t="shared" si="2"/>
        <v>0</v>
      </c>
    </row>
    <row r="141" spans="2:6">
      <c r="B141" s="92" t="s">
        <v>497</v>
      </c>
      <c r="C141" s="64" t="s">
        <v>98</v>
      </c>
      <c r="D141" s="60">
        <f>SUMIF(Mizan!$A:$A,$B141,Mizan!$F:$F)</f>
        <v>0</v>
      </c>
      <c r="E141" s="60">
        <f>-SUMIF('159-380-VB'!$B:$B,$B141,'159-380-VB'!$O:$O)</f>
        <v>0</v>
      </c>
      <c r="F141" s="60">
        <f t="shared" ref="F141:F199" si="3">+D141+E141</f>
        <v>0</v>
      </c>
    </row>
    <row r="142" spans="2:6">
      <c r="B142" s="92" t="s">
        <v>498</v>
      </c>
      <c r="C142" s="64" t="s">
        <v>99</v>
      </c>
      <c r="D142" s="60">
        <f>SUMIF(Mizan!$A:$A,$B142,Mizan!$F:$F)</f>
        <v>-154525.62</v>
      </c>
      <c r="E142" s="60">
        <f>-SUMIF('159-380-VB'!$B:$B,$B142,'159-380-VB'!$O:$O)</f>
        <v>0</v>
      </c>
      <c r="F142" s="60">
        <f t="shared" si="3"/>
        <v>-154525.62</v>
      </c>
    </row>
    <row r="143" spans="2:6">
      <c r="B143" s="92" t="s">
        <v>499</v>
      </c>
      <c r="C143" s="64" t="s">
        <v>100</v>
      </c>
      <c r="D143" s="60">
        <f>SUMIF(Mizan!$A:$A,$B143,Mizan!$F:$F)</f>
        <v>33394.660000000003</v>
      </c>
      <c r="E143" s="60">
        <f>-SUMIF('159-380-VB'!$B:$B,$B143,'159-380-VB'!$O:$O)</f>
        <v>0</v>
      </c>
      <c r="F143" s="60">
        <f t="shared" si="3"/>
        <v>33394.660000000003</v>
      </c>
    </row>
    <row r="144" spans="2:6">
      <c r="B144" s="92" t="s">
        <v>500</v>
      </c>
      <c r="C144" s="64" t="s">
        <v>101</v>
      </c>
      <c r="D144" s="60">
        <f>SUMIF(Mizan!$A:$A,$B144,Mizan!$F:$F)</f>
        <v>0</v>
      </c>
      <c r="E144" s="60">
        <f>-SUMIF('159-380-VB'!$B:$B,$B144,'159-380-VB'!$O:$O)</f>
        <v>0</v>
      </c>
      <c r="F144" s="60">
        <f t="shared" si="3"/>
        <v>0</v>
      </c>
    </row>
    <row r="145" spans="2:6">
      <c r="B145" s="92" t="s">
        <v>501</v>
      </c>
      <c r="C145" s="64" t="s">
        <v>102</v>
      </c>
      <c r="D145" s="60">
        <f>SUMIF(Mizan!$A:$A,$B145,Mizan!$F:$F)</f>
        <v>0</v>
      </c>
      <c r="E145" s="60">
        <f>-SUMIF('159-380-VB'!$B:$B,$B145,'159-380-VB'!$O:$O)</f>
        <v>0</v>
      </c>
      <c r="F145" s="60">
        <f t="shared" si="3"/>
        <v>0</v>
      </c>
    </row>
    <row r="146" spans="2:6">
      <c r="B146" s="92" t="s">
        <v>502</v>
      </c>
      <c r="C146" s="64" t="s">
        <v>103</v>
      </c>
      <c r="D146" s="60">
        <f>SUMIF(Mizan!$A:$A,$B146,Mizan!$F:$F)</f>
        <v>0</v>
      </c>
      <c r="E146" s="60">
        <f>-SUMIF('159-380-VB'!$B:$B,$B146,'159-380-VB'!$O:$O)</f>
        <v>0</v>
      </c>
      <c r="F146" s="60">
        <f t="shared" si="3"/>
        <v>0</v>
      </c>
    </row>
    <row r="147" spans="2:6">
      <c r="B147" s="92" t="s">
        <v>503</v>
      </c>
      <c r="C147" s="64" t="s">
        <v>104</v>
      </c>
      <c r="D147" s="60">
        <f>SUMIF(Mizan!$A:$A,$B147,Mizan!$F:$F)</f>
        <v>-625960.05000000005</v>
      </c>
      <c r="E147" s="60">
        <f>-SUMIF('159-380-VB'!$B:$B,$B147,'159-380-VB'!$O:$O)</f>
        <v>-3078.4000000000015</v>
      </c>
      <c r="F147" s="60">
        <f t="shared" si="3"/>
        <v>-629038.45000000007</v>
      </c>
    </row>
    <row r="148" spans="2:6">
      <c r="B148" s="92" t="s">
        <v>504</v>
      </c>
      <c r="C148" s="64" t="s">
        <v>105</v>
      </c>
      <c r="D148" s="60">
        <f>SUMIF(Mizan!$A:$A,$B148,Mizan!$F:$F)</f>
        <v>-1273459.68</v>
      </c>
      <c r="E148" s="60">
        <f>-SUMIF('159-380-VB'!$B:$B,$B148,'159-380-VB'!$O:$O)</f>
        <v>0</v>
      </c>
      <c r="F148" s="60">
        <f t="shared" si="3"/>
        <v>-1273459.68</v>
      </c>
    </row>
    <row r="149" spans="2:6">
      <c r="B149" s="92" t="s">
        <v>505</v>
      </c>
      <c r="C149" s="64" t="s">
        <v>106</v>
      </c>
      <c r="D149" s="60">
        <f>SUMIF(Mizan!$A:$A,$B149,Mizan!$F:$F)</f>
        <v>0</v>
      </c>
      <c r="E149" s="60">
        <f>-SUMIF('159-380-VB'!$B:$B,$B149,'159-380-VB'!$O:$O)</f>
        <v>0</v>
      </c>
      <c r="F149" s="60">
        <f t="shared" si="3"/>
        <v>0</v>
      </c>
    </row>
    <row r="150" spans="2:6">
      <c r="B150" s="92" t="s">
        <v>506</v>
      </c>
      <c r="C150" s="64" t="s">
        <v>107</v>
      </c>
      <c r="D150" s="60">
        <f>SUMIF(Mizan!$A:$A,$B150,Mizan!$F:$F)</f>
        <v>-2735055.16</v>
      </c>
      <c r="E150" s="60">
        <f>-SUMIF('159-380-VB'!$B:$B,$B150,'159-380-VB'!$O:$O)</f>
        <v>0</v>
      </c>
      <c r="F150" s="60">
        <f t="shared" si="3"/>
        <v>-2735055.16</v>
      </c>
    </row>
    <row r="151" spans="2:6">
      <c r="B151" s="92" t="s">
        <v>507</v>
      </c>
      <c r="C151" s="64" t="s">
        <v>137</v>
      </c>
      <c r="D151" s="60">
        <f>SUMIF(Mizan!$A:$A,$B151,Mizan!$F:$F)</f>
        <v>0</v>
      </c>
      <c r="E151" s="60">
        <f>-SUMIF('159-380-VB'!$B:$B,$B151,'159-380-VB'!$O:$O)</f>
        <v>0</v>
      </c>
      <c r="F151" s="60">
        <f t="shared" si="3"/>
        <v>0</v>
      </c>
    </row>
    <row r="152" spans="2:6">
      <c r="B152" s="92" t="s">
        <v>508</v>
      </c>
      <c r="C152" s="64" t="s">
        <v>138</v>
      </c>
      <c r="D152" s="60">
        <f>SUMIF(Mizan!$A:$A,$B152,Mizan!$F:$F)</f>
        <v>0</v>
      </c>
      <c r="E152" s="60">
        <f>-SUMIF('159-380-VB'!$B:$B,$B152,'159-380-VB'!$O:$O)</f>
        <v>0</v>
      </c>
      <c r="F152" s="60">
        <f t="shared" si="3"/>
        <v>0</v>
      </c>
    </row>
    <row r="153" spans="2:6">
      <c r="B153" s="92" t="s">
        <v>509</v>
      </c>
      <c r="C153" s="64" t="s">
        <v>108</v>
      </c>
      <c r="D153" s="60">
        <f>SUMIF(Mizan!$A:$A,$B153,Mizan!$F:$F)</f>
        <v>0</v>
      </c>
      <c r="E153" s="60">
        <f>-SUMIF('159-380-VB'!$B:$B,$B153,'159-380-VB'!$O:$O)</f>
        <v>0</v>
      </c>
      <c r="F153" s="60">
        <f t="shared" si="3"/>
        <v>0</v>
      </c>
    </row>
    <row r="154" spans="2:6">
      <c r="B154" s="92" t="s">
        <v>510</v>
      </c>
      <c r="C154" s="64" t="s">
        <v>76</v>
      </c>
      <c r="D154" s="60">
        <f>SUMIF(Mizan!$A:$A,$B154,Mizan!$F:$F)</f>
        <v>-513975.08999999997</v>
      </c>
      <c r="E154" s="60">
        <f>-SUMIF('159-380-VB'!$B:$B,$B154,'159-380-VB'!$O:$O)</f>
        <v>0</v>
      </c>
      <c r="F154" s="60">
        <f t="shared" si="3"/>
        <v>-513975.08999999997</v>
      </c>
    </row>
    <row r="155" spans="2:6">
      <c r="B155" s="92" t="s">
        <v>511</v>
      </c>
      <c r="C155" s="64" t="s">
        <v>135</v>
      </c>
      <c r="D155" s="60">
        <f>SUMIF(Mizan!$A:$A,$B155,Mizan!$F:$F)</f>
        <v>0</v>
      </c>
      <c r="E155" s="60">
        <f>-SUMIF('159-380-VB'!$B:$B,$B155,'159-380-VB'!$O:$O)</f>
        <v>0</v>
      </c>
      <c r="F155" s="60">
        <f t="shared" si="3"/>
        <v>0</v>
      </c>
    </row>
    <row r="156" spans="2:6">
      <c r="B156" s="92" t="s">
        <v>512</v>
      </c>
      <c r="C156" s="64" t="s">
        <v>136</v>
      </c>
      <c r="D156" s="60">
        <f>SUMIF(Mizan!$A:$A,$B156,Mizan!$F:$F)</f>
        <v>0</v>
      </c>
      <c r="E156" s="60">
        <f>-SUMIF('159-380-VB'!$B:$B,$B156,'159-380-VB'!$O:$O)</f>
        <v>0</v>
      </c>
      <c r="F156" s="60">
        <f t="shared" si="3"/>
        <v>0</v>
      </c>
    </row>
    <row r="157" spans="2:6">
      <c r="B157" s="92" t="s">
        <v>513</v>
      </c>
      <c r="C157" s="64" t="s">
        <v>109</v>
      </c>
      <c r="D157" s="60">
        <f>SUMIF(Mizan!$A:$A,$B157,Mizan!$F:$F)</f>
        <v>0</v>
      </c>
      <c r="E157" s="60">
        <f>-SUMIF('159-380-VB'!$B:$B,$B157,'159-380-VB'!$O:$O)</f>
        <v>0</v>
      </c>
      <c r="F157" s="60">
        <f t="shared" si="3"/>
        <v>0</v>
      </c>
    </row>
    <row r="158" spans="2:6">
      <c r="B158" s="92" t="s">
        <v>514</v>
      </c>
      <c r="C158" s="64" t="s">
        <v>80</v>
      </c>
      <c r="D158" s="60">
        <f>SUMIF(Mizan!$A:$A,$B158,Mizan!$F:$F)</f>
        <v>0</v>
      </c>
      <c r="E158" s="60">
        <f>-SUMIF('159-380-VB'!$B:$B,$B158,'159-380-VB'!$O:$O)</f>
        <v>0</v>
      </c>
      <c r="F158" s="60">
        <f t="shared" si="3"/>
        <v>0</v>
      </c>
    </row>
    <row r="159" spans="2:6">
      <c r="B159" s="92" t="s">
        <v>515</v>
      </c>
      <c r="C159" s="64" t="s">
        <v>81</v>
      </c>
      <c r="D159" s="60">
        <f>SUMIF(Mizan!$A:$A,$B159,Mizan!$F:$F)</f>
        <v>0</v>
      </c>
      <c r="E159" s="60">
        <f>-SUMIF('159-380-VB'!$B:$B,$B159,'159-380-VB'!$O:$O)</f>
        <v>0</v>
      </c>
      <c r="F159" s="60">
        <f t="shared" si="3"/>
        <v>0</v>
      </c>
    </row>
    <row r="160" spans="2:6">
      <c r="B160" s="92" t="s">
        <v>516</v>
      </c>
      <c r="C160" s="64" t="s">
        <v>82</v>
      </c>
      <c r="D160" s="60">
        <f>SUMIF(Mizan!$A:$A,$B160,Mizan!$F:$F)</f>
        <v>0</v>
      </c>
      <c r="E160" s="60">
        <f>-SUMIF('159-380-VB'!$B:$B,$B160,'159-380-VB'!$O:$O)</f>
        <v>0</v>
      </c>
      <c r="F160" s="60">
        <f t="shared" si="3"/>
        <v>0</v>
      </c>
    </row>
    <row r="161" spans="2:6">
      <c r="B161" s="92" t="s">
        <v>517</v>
      </c>
      <c r="C161" s="64" t="s">
        <v>83</v>
      </c>
      <c r="D161" s="60">
        <f>SUMIF(Mizan!$A:$A,$B161,Mizan!$F:$F)</f>
        <v>0</v>
      </c>
      <c r="E161" s="60">
        <f>-SUMIF('159-380-VB'!$B:$B,$B161,'159-380-VB'!$O:$O)</f>
        <v>0</v>
      </c>
      <c r="F161" s="60">
        <f t="shared" si="3"/>
        <v>0</v>
      </c>
    </row>
    <row r="162" spans="2:6">
      <c r="B162" s="92" t="s">
        <v>518</v>
      </c>
      <c r="C162" s="64" t="s">
        <v>84</v>
      </c>
      <c r="D162" s="60">
        <f>SUMIF(Mizan!$A:$A,$B162,Mizan!$F:$F)</f>
        <v>0</v>
      </c>
      <c r="E162" s="60">
        <f>-SUMIF('159-380-VB'!$B:$B,$B162,'159-380-VB'!$O:$O)</f>
        <v>0</v>
      </c>
      <c r="F162" s="60">
        <f t="shared" si="3"/>
        <v>0</v>
      </c>
    </row>
    <row r="163" spans="2:6">
      <c r="B163" s="92" t="s">
        <v>519</v>
      </c>
      <c r="C163" s="64" t="s">
        <v>85</v>
      </c>
      <c r="D163" s="60">
        <f>SUMIF(Mizan!$A:$A,$B163,Mizan!$F:$F)</f>
        <v>0</v>
      </c>
      <c r="E163" s="60">
        <f>-SUMIF('159-380-VB'!$B:$B,$B163,'159-380-VB'!$O:$O)</f>
        <v>0</v>
      </c>
      <c r="F163" s="60">
        <f t="shared" si="3"/>
        <v>0</v>
      </c>
    </row>
    <row r="164" spans="2:6">
      <c r="B164" s="92" t="s">
        <v>520</v>
      </c>
      <c r="C164" s="64" t="s">
        <v>86</v>
      </c>
      <c r="D164" s="60">
        <f>SUMIF(Mizan!$A:$A,$B164,Mizan!$F:$F)</f>
        <v>0</v>
      </c>
      <c r="E164" s="60">
        <f>-SUMIF('159-380-VB'!$B:$B,$B164,'159-380-VB'!$O:$O)</f>
        <v>0</v>
      </c>
      <c r="F164" s="60">
        <f t="shared" si="3"/>
        <v>0</v>
      </c>
    </row>
    <row r="165" spans="2:6">
      <c r="B165" s="92" t="s">
        <v>521</v>
      </c>
      <c r="C165" s="64" t="s">
        <v>87</v>
      </c>
      <c r="D165" s="60">
        <f>SUMIF(Mizan!$A:$A,$B165,Mizan!$F:$F)</f>
        <v>0</v>
      </c>
      <c r="E165" s="60">
        <f>-SUMIF('159-380-VB'!$B:$B,$B165,'159-380-VB'!$O:$O)</f>
        <v>0</v>
      </c>
      <c r="F165" s="60">
        <f t="shared" si="3"/>
        <v>0</v>
      </c>
    </row>
    <row r="166" spans="2:6">
      <c r="B166" s="92" t="s">
        <v>522</v>
      </c>
      <c r="C166" s="64" t="s">
        <v>88</v>
      </c>
      <c r="D166" s="60">
        <f>SUMIF(Mizan!$A:$A,$B166,Mizan!$F:$F)</f>
        <v>0</v>
      </c>
      <c r="E166" s="60">
        <f>-SUMIF('159-380-VB'!$B:$B,$B166,'159-380-VB'!$O:$O)</f>
        <v>0</v>
      </c>
      <c r="F166" s="60">
        <f t="shared" si="3"/>
        <v>0</v>
      </c>
    </row>
    <row r="167" spans="2:6">
      <c r="B167" s="92" t="s">
        <v>523</v>
      </c>
      <c r="C167" s="64" t="s">
        <v>89</v>
      </c>
      <c r="D167" s="60">
        <f>SUMIF(Mizan!$A:$A,$B167,Mizan!$F:$F)</f>
        <v>0</v>
      </c>
      <c r="E167" s="60">
        <f>-SUMIF('159-380-VB'!$B:$B,$B167,'159-380-VB'!$O:$O)</f>
        <v>0</v>
      </c>
      <c r="F167" s="60">
        <f t="shared" si="3"/>
        <v>0</v>
      </c>
    </row>
    <row r="168" spans="2:6">
      <c r="B168" s="92" t="s">
        <v>524</v>
      </c>
      <c r="C168" s="64" t="s">
        <v>90</v>
      </c>
      <c r="D168" s="60">
        <f>SUMIF(Mizan!$A:$A,$B168,Mizan!$F:$F)</f>
        <v>0</v>
      </c>
      <c r="E168" s="60">
        <f>-SUMIF('159-380-VB'!$B:$B,$B168,'159-380-VB'!$O:$O)</f>
        <v>0</v>
      </c>
      <c r="F168" s="60">
        <f t="shared" si="3"/>
        <v>0</v>
      </c>
    </row>
    <row r="169" spans="2:6">
      <c r="B169" s="92" t="s">
        <v>525</v>
      </c>
      <c r="C169" s="64" t="s">
        <v>92</v>
      </c>
      <c r="D169" s="60">
        <f>SUMIF(Mizan!$A:$A,$B169,Mizan!$F:$F)</f>
        <v>0</v>
      </c>
      <c r="E169" s="60">
        <f>-SUMIF('159-380-VB'!$B:$B,$B169,'159-380-VB'!$O:$O)</f>
        <v>0</v>
      </c>
      <c r="F169" s="60">
        <f t="shared" si="3"/>
        <v>0</v>
      </c>
    </row>
    <row r="170" spans="2:6">
      <c r="B170" s="92" t="s">
        <v>526</v>
      </c>
      <c r="C170" s="64" t="s">
        <v>110</v>
      </c>
      <c r="D170" s="60">
        <f>SUMIF(Mizan!$A:$A,$B170,Mizan!$F:$F)</f>
        <v>0</v>
      </c>
      <c r="E170" s="60">
        <f>-SUMIF('159-380-VB'!$B:$B,$B170,'159-380-VB'!$O:$O)</f>
        <v>0</v>
      </c>
      <c r="F170" s="60">
        <f t="shared" si="3"/>
        <v>0</v>
      </c>
    </row>
    <row r="171" spans="2:6">
      <c r="B171" s="92" t="s">
        <v>527</v>
      </c>
      <c r="C171" s="64" t="s">
        <v>142</v>
      </c>
      <c r="D171" s="60">
        <f>SUMIF(Mizan!$A:$A,$B171,Mizan!$F:$F)</f>
        <v>0</v>
      </c>
      <c r="E171" s="60">
        <f>-SUMIF('159-380-VB'!$B:$B,$B171,'159-380-VB'!$O:$O)</f>
        <v>0</v>
      </c>
      <c r="F171" s="60">
        <f t="shared" si="3"/>
        <v>0</v>
      </c>
    </row>
    <row r="172" spans="2:6">
      <c r="B172" s="92" t="s">
        <v>528</v>
      </c>
      <c r="C172" s="64" t="s">
        <v>93</v>
      </c>
      <c r="D172" s="60">
        <f>SUMIF(Mizan!$A:$A,$B172,Mizan!$F:$F)</f>
        <v>0</v>
      </c>
      <c r="E172" s="60">
        <f>-SUMIF('159-380-VB'!$B:$B,$B172,'159-380-VB'!$O:$O)</f>
        <v>0</v>
      </c>
      <c r="F172" s="60">
        <f t="shared" si="3"/>
        <v>0</v>
      </c>
    </row>
    <row r="173" spans="2:6">
      <c r="B173" s="92" t="s">
        <v>529</v>
      </c>
      <c r="C173" s="64" t="s">
        <v>94</v>
      </c>
      <c r="D173" s="60">
        <f>SUMIF(Mizan!$A:$A,$B173,Mizan!$F:$F)</f>
        <v>0</v>
      </c>
      <c r="E173" s="60">
        <f>-SUMIF('159-380-VB'!$B:$B,$B173,'159-380-VB'!$O:$O)</f>
        <v>0</v>
      </c>
      <c r="F173" s="60">
        <f t="shared" si="3"/>
        <v>0</v>
      </c>
    </row>
    <row r="174" spans="2:6">
      <c r="B174" s="92" t="s">
        <v>530</v>
      </c>
      <c r="C174" s="64" t="s">
        <v>101</v>
      </c>
      <c r="D174" s="60">
        <f>SUMIF(Mizan!$A:$A,$B174,Mizan!$F:$F)</f>
        <v>0</v>
      </c>
      <c r="E174" s="60">
        <f>-SUMIF('159-380-VB'!$B:$B,$B174,'159-380-VB'!$O:$O)</f>
        <v>0</v>
      </c>
      <c r="F174" s="60">
        <f t="shared" si="3"/>
        <v>0</v>
      </c>
    </row>
    <row r="175" spans="2:6">
      <c r="B175" s="92" t="s">
        <v>531</v>
      </c>
      <c r="C175" s="64" t="s">
        <v>103</v>
      </c>
      <c r="D175" s="60">
        <f>SUMIF(Mizan!$A:$A,$B175,Mizan!$F:$F)</f>
        <v>0</v>
      </c>
      <c r="E175" s="60">
        <f>-SUMIF('159-380-VB'!$B:$B,$B175,'159-380-VB'!$O:$O)</f>
        <v>0</v>
      </c>
      <c r="F175" s="60">
        <f t="shared" si="3"/>
        <v>0</v>
      </c>
    </row>
    <row r="176" spans="2:6">
      <c r="B176" s="92" t="s">
        <v>532</v>
      </c>
      <c r="C176" s="64" t="s">
        <v>111</v>
      </c>
      <c r="D176" s="60">
        <f>SUMIF(Mizan!$A:$A,$B176,Mizan!$F:$F)</f>
        <v>-922402.8</v>
      </c>
      <c r="E176" s="60">
        <f>-SUMIF('159-380-VB'!$B:$B,$B176,'159-380-VB'!$O:$O)</f>
        <v>-2368</v>
      </c>
      <c r="F176" s="60">
        <f t="shared" si="3"/>
        <v>-924770.8</v>
      </c>
    </row>
    <row r="177" spans="2:6">
      <c r="B177" s="92" t="s">
        <v>533</v>
      </c>
      <c r="C177" s="64" t="s">
        <v>105</v>
      </c>
      <c r="D177" s="60">
        <f>SUMIF(Mizan!$A:$A,$B177,Mizan!$F:$F)</f>
        <v>0</v>
      </c>
      <c r="E177" s="60">
        <f>-SUMIF('159-380-VB'!$B:$B,$B177,'159-380-VB'!$O:$O)</f>
        <v>0</v>
      </c>
      <c r="F177" s="60">
        <f t="shared" si="3"/>
        <v>0</v>
      </c>
    </row>
    <row r="178" spans="2:6">
      <c r="B178" s="92" t="s">
        <v>534</v>
      </c>
      <c r="C178" s="64" t="s">
        <v>139</v>
      </c>
      <c r="D178" s="60">
        <f>SUMIF(Mizan!$A:$A,$B178,Mizan!$F:$F)</f>
        <v>0</v>
      </c>
      <c r="E178" s="60">
        <f>-SUMIF('159-380-VB'!$B:$B,$B178,'159-380-VB'!$O:$O)</f>
        <v>0</v>
      </c>
      <c r="F178" s="60">
        <f t="shared" si="3"/>
        <v>0</v>
      </c>
    </row>
    <row r="179" spans="2:6">
      <c r="B179" s="92" t="s">
        <v>535</v>
      </c>
      <c r="C179" s="64" t="s">
        <v>112</v>
      </c>
      <c r="D179" s="60">
        <f>SUMIF(Mizan!$A:$A,$B179,Mizan!$F:$F)</f>
        <v>0</v>
      </c>
      <c r="E179" s="60">
        <f>-SUMIF('159-380-VB'!$B:$B,$B179,'159-380-VB'!$O:$O)</f>
        <v>0</v>
      </c>
      <c r="F179" s="60">
        <f t="shared" si="3"/>
        <v>0</v>
      </c>
    </row>
    <row r="180" spans="2:6">
      <c r="B180" s="92" t="s">
        <v>536</v>
      </c>
      <c r="C180" s="64" t="s">
        <v>113</v>
      </c>
      <c r="D180" s="60">
        <f>SUMIF(Mizan!$A:$A,$B180,Mizan!$F:$F)</f>
        <v>0</v>
      </c>
      <c r="E180" s="60">
        <f>-SUMIF('159-380-VB'!$B:$B,$B180,'159-380-VB'!$O:$O)</f>
        <v>0</v>
      </c>
      <c r="F180" s="60">
        <f t="shared" si="3"/>
        <v>0</v>
      </c>
    </row>
    <row r="181" spans="2:6">
      <c r="B181" s="93"/>
      <c r="C181" s="71"/>
      <c r="D181" s="90"/>
      <c r="E181" s="90"/>
      <c r="F181" s="90"/>
    </row>
    <row r="182" spans="2:6">
      <c r="B182" s="92" t="s">
        <v>537</v>
      </c>
      <c r="C182" s="64" t="s">
        <v>114</v>
      </c>
      <c r="D182" s="60">
        <f>SUMIF(Mizan!$A:$A,$B182,Mizan!$F:$F)</f>
        <v>-2970000</v>
      </c>
      <c r="E182" s="60">
        <v>0</v>
      </c>
      <c r="F182" s="60">
        <f t="shared" si="3"/>
        <v>-2970000</v>
      </c>
    </row>
    <row r="183" spans="2:6">
      <c r="B183" s="92" t="s">
        <v>538</v>
      </c>
      <c r="C183" s="64" t="s">
        <v>115</v>
      </c>
      <c r="D183" s="60">
        <f>SUMIF(Mizan!$A:$A,$B183,Mizan!$F:$F)</f>
        <v>0</v>
      </c>
      <c r="E183" s="60">
        <v>0</v>
      </c>
      <c r="F183" s="60">
        <f t="shared" si="3"/>
        <v>0</v>
      </c>
    </row>
    <row r="184" spans="2:6">
      <c r="B184" s="92" t="s">
        <v>668</v>
      </c>
      <c r="C184" s="64" t="s">
        <v>669</v>
      </c>
      <c r="D184" s="60">
        <f>SUMIF(Mizan!$A:$A,$B184,Mizan!$F:$F)</f>
        <v>0</v>
      </c>
      <c r="E184" s="60">
        <f>-SUMIF('500'!B:B,B182,'500'!P:P)-SUMIF('500'!B:B,B184,'500'!P:P)</f>
        <v>-123136</v>
      </c>
      <c r="F184" s="60">
        <f t="shared" si="3"/>
        <v>-123136</v>
      </c>
    </row>
    <row r="185" spans="2:6">
      <c r="B185" s="92" t="s">
        <v>745</v>
      </c>
      <c r="C185" s="64" t="s">
        <v>754</v>
      </c>
      <c r="D185" s="60">
        <f>SUMIF(Mizan!$A:$A,$B185,Mizan!$F:$F)</f>
        <v>0</v>
      </c>
      <c r="E185" s="60">
        <f>-SUMIF('500'!B:B,B185,'500'!P:P)</f>
        <v>0</v>
      </c>
      <c r="F185" s="60">
        <f t="shared" ref="F185" si="4">+D185+E185</f>
        <v>0</v>
      </c>
    </row>
    <row r="186" spans="2:6">
      <c r="B186" s="92" t="s">
        <v>539</v>
      </c>
      <c r="C186" s="64" t="s">
        <v>116</v>
      </c>
      <c r="D186" s="60">
        <f>SUMIF(Mizan!$A:$A,$B186,Mizan!$F:$F)</f>
        <v>0</v>
      </c>
      <c r="E186" s="60">
        <f>-SUMIF('520-599'!B:B,B186,'520-599'!N:N)</f>
        <v>0</v>
      </c>
      <c r="F186" s="60">
        <f t="shared" si="3"/>
        <v>0</v>
      </c>
    </row>
    <row r="187" spans="2:6">
      <c r="B187" s="92" t="s">
        <v>540</v>
      </c>
      <c r="C187" s="64" t="s">
        <v>117</v>
      </c>
      <c r="D187" s="60">
        <f>SUMIF(Mizan!$A:$A,$B187,Mizan!$F:$F)</f>
        <v>0</v>
      </c>
      <c r="E187" s="60">
        <f>-SUMIF('520-599'!B:B,B187,'520-599'!N:N)</f>
        <v>0</v>
      </c>
      <c r="F187" s="60">
        <f t="shared" si="3"/>
        <v>0</v>
      </c>
    </row>
    <row r="188" spans="2:6">
      <c r="B188" s="92" t="s">
        <v>541</v>
      </c>
      <c r="C188" s="64" t="s">
        <v>118</v>
      </c>
      <c r="D188" s="60">
        <f>SUMIF(Mizan!$A:$A,$B188,Mizan!$F:$F)</f>
        <v>0</v>
      </c>
      <c r="E188" s="60">
        <f>-SUMIF('520-599'!B:B,B188,'520-599'!N:N)</f>
        <v>0</v>
      </c>
      <c r="F188" s="60">
        <f t="shared" si="3"/>
        <v>0</v>
      </c>
    </row>
    <row r="189" spans="2:6">
      <c r="B189" s="92" t="s">
        <v>760</v>
      </c>
      <c r="C189" s="64" t="s">
        <v>653</v>
      </c>
      <c r="D189" s="60">
        <f>SUMIF(Mizan!$A:$A,$B189,Mizan!$F:$F)</f>
        <v>0</v>
      </c>
      <c r="E189" s="60">
        <f>-SUMIF('520-599'!B:B,B189,'520-599'!N:N)</f>
        <v>-7329.539999999979</v>
      </c>
      <c r="F189" s="60">
        <f t="shared" ref="F189" si="5">+D189+E189</f>
        <v>-7329.539999999979</v>
      </c>
    </row>
    <row r="190" spans="2:6">
      <c r="B190" s="92" t="s">
        <v>542</v>
      </c>
      <c r="C190" s="64" t="s">
        <v>119</v>
      </c>
      <c r="D190" s="60">
        <f>SUMIF(Mizan!$A:$A,$B190,Mizan!$F:$F)</f>
        <v>-485100</v>
      </c>
      <c r="E190" s="60">
        <f>-SUMIF('520-599'!B:B,B190,'520-599'!N:N)</f>
        <v>-11487.169999999984</v>
      </c>
      <c r="F190" s="60">
        <f t="shared" si="3"/>
        <v>-496587.17</v>
      </c>
    </row>
    <row r="191" spans="2:6">
      <c r="B191" s="92" t="s">
        <v>543</v>
      </c>
      <c r="C191" s="64" t="s">
        <v>120</v>
      </c>
      <c r="D191" s="60">
        <f>SUMIF(Mizan!$A:$A,$B191,Mizan!$F:$F)</f>
        <v>-765022.09</v>
      </c>
      <c r="E191" s="60">
        <f>-SUMIF('520-599'!B:B,B191,'520-599'!N:N)</f>
        <v>-13816.989999999991</v>
      </c>
      <c r="F191" s="60">
        <f t="shared" si="3"/>
        <v>-778839.08</v>
      </c>
    </row>
    <row r="192" spans="2:6">
      <c r="B192" s="92" t="s">
        <v>544</v>
      </c>
      <c r="C192" s="64" t="s">
        <v>121</v>
      </c>
      <c r="D192" s="60">
        <f>SUMIF(Mizan!$A:$A,$B192,Mizan!$F:$F)</f>
        <v>0</v>
      </c>
      <c r="E192" s="60">
        <f>-SUMIF('520-599'!B:B,B192,'520-599'!N:N)</f>
        <v>0</v>
      </c>
      <c r="F192" s="60">
        <f t="shared" si="3"/>
        <v>0</v>
      </c>
    </row>
    <row r="193" spans="2:6">
      <c r="B193" s="92" t="s">
        <v>545</v>
      </c>
      <c r="C193" s="64" t="s">
        <v>122</v>
      </c>
      <c r="D193" s="60">
        <f>SUMIF(Mizan!$A:$A,$B193,Mizan!$F:$F)</f>
        <v>0</v>
      </c>
      <c r="E193" s="60">
        <f>-SUMIF('520-599'!B:B,B193,'520-599'!N:N)</f>
        <v>-4298.7299999999814</v>
      </c>
      <c r="F193" s="60">
        <f t="shared" si="3"/>
        <v>-4298.7299999999814</v>
      </c>
    </row>
    <row r="194" spans="2:6">
      <c r="B194" s="92" t="s">
        <v>546</v>
      </c>
      <c r="C194" s="64" t="s">
        <v>123</v>
      </c>
      <c r="D194" s="60">
        <f>SUMIF(Mizan!$A:$A,$B194,Mizan!$F:$F)</f>
        <v>0</v>
      </c>
      <c r="E194" s="60">
        <f>-SUMIF('520-599'!B:B,B194,'520-599'!N:N)</f>
        <v>0</v>
      </c>
      <c r="F194" s="60">
        <f t="shared" si="3"/>
        <v>0</v>
      </c>
    </row>
    <row r="195" spans="2:6">
      <c r="B195" s="92" t="s">
        <v>547</v>
      </c>
      <c r="C195" s="64" t="s">
        <v>124</v>
      </c>
      <c r="D195" s="60">
        <f>SUMIF(Mizan!$A:$A,$B195,Mizan!$F:$F)</f>
        <v>0</v>
      </c>
      <c r="E195" s="60">
        <f>-SUMIF('520-599'!B:B,B195,'520-599'!N:N)</f>
        <v>-11840</v>
      </c>
      <c r="F195" s="60">
        <f t="shared" si="3"/>
        <v>-11840</v>
      </c>
    </row>
    <row r="196" spans="2:6">
      <c r="B196" s="92" t="s">
        <v>548</v>
      </c>
      <c r="C196" s="64" t="s">
        <v>125</v>
      </c>
      <c r="D196" s="60">
        <f>SUMIF(Mizan!$A:$A,$B196,Mizan!$F:$F)</f>
        <v>-34923653.850000001</v>
      </c>
      <c r="E196" s="60">
        <f>-SUMIF('520-599'!B:B,B196,'520-599'!N:N)</f>
        <v>-826992.11999999732</v>
      </c>
      <c r="F196" s="60">
        <f t="shared" si="3"/>
        <v>-35750645.969999999</v>
      </c>
    </row>
    <row r="197" spans="2:6">
      <c r="B197" s="92" t="s">
        <v>549</v>
      </c>
      <c r="C197" s="64" t="s">
        <v>126</v>
      </c>
      <c r="D197" s="60">
        <f>SUMIF(Mizan!$A:$A,$B197,Mizan!$F:$F)</f>
        <v>0</v>
      </c>
      <c r="E197" s="60">
        <f>-SUMIF('520-599'!B:B,B197,'520-599'!N:N)</f>
        <v>-23.67999999999995</v>
      </c>
      <c r="F197" s="60">
        <f t="shared" si="3"/>
        <v>-23.67999999999995</v>
      </c>
    </row>
    <row r="198" spans="2:6">
      <c r="B198" s="92" t="s">
        <v>550</v>
      </c>
      <c r="C198" s="64" t="s">
        <v>127</v>
      </c>
      <c r="D198" s="60">
        <f>SUMIF(Mizan!$A:$A,$B198,Mizan!$F:$F)</f>
        <v>-4741064</v>
      </c>
      <c r="E198" s="60">
        <f>-SUM(E4:E197)</f>
        <v>347850.73999999749</v>
      </c>
      <c r="F198" s="60">
        <f t="shared" si="3"/>
        <v>-4393213.2600000026</v>
      </c>
    </row>
    <row r="199" spans="2:6">
      <c r="B199" s="92" t="s">
        <v>551</v>
      </c>
      <c r="C199" s="64" t="s">
        <v>128</v>
      </c>
      <c r="D199" s="60">
        <f>SUMIF(Mizan!$A:$A,$B199,Mizan!$F:$F)</f>
        <v>0</v>
      </c>
      <c r="E199" s="60">
        <f>-D199</f>
        <v>0</v>
      </c>
      <c r="F199" s="60">
        <f t="shared" si="3"/>
        <v>0</v>
      </c>
    </row>
    <row r="201" spans="2:6">
      <c r="B201" s="94" t="s">
        <v>667</v>
      </c>
      <c r="C201" s="95"/>
      <c r="D201" s="91">
        <f>SUM(D4:D200)</f>
        <v>-3.7252902984619141E-8</v>
      </c>
      <c r="E201" s="91">
        <f>SUM(E4:E200)</f>
        <v>0</v>
      </c>
      <c r="F201" s="91">
        <f>SUM(F4:F200)</f>
        <v>-1.9557774066925049E-8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F201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31"/>
  <sheetViews>
    <sheetView workbookViewId="0">
      <selection activeCell="E25" sqref="E25"/>
    </sheetView>
  </sheetViews>
  <sheetFormatPr defaultColWidth="9" defaultRowHeight="14.25"/>
  <cols>
    <col min="1" max="1" width="6" style="17" customWidth="1"/>
    <col min="2" max="2" width="12" style="17" customWidth="1"/>
    <col min="3" max="3" width="13" style="17" customWidth="1"/>
    <col min="4" max="5" width="12.6640625" style="17" customWidth="1"/>
    <col min="6" max="8" width="9" style="17"/>
    <col min="9" max="9" width="13" style="17" customWidth="1"/>
    <col min="10" max="10" width="9" style="17"/>
    <col min="11" max="12" width="12.6640625" style="17" customWidth="1"/>
    <col min="13" max="16384" width="9" style="17"/>
  </cols>
  <sheetData>
    <row r="1" spans="2:13" s="10" customFormat="1">
      <c r="L1" s="46" t="s">
        <v>663</v>
      </c>
    </row>
    <row r="2" spans="2:13" s="10" customFormat="1">
      <c r="B2" s="10" t="s">
        <v>752</v>
      </c>
      <c r="L2" s="48" t="s">
        <v>662</v>
      </c>
    </row>
    <row r="4" spans="2:13">
      <c r="B4" s="147" t="s">
        <v>742</v>
      </c>
      <c r="C4" s="147"/>
      <c r="D4" s="147"/>
      <c r="E4" s="147"/>
      <c r="F4" s="147"/>
      <c r="G4" s="147"/>
      <c r="H4" s="147"/>
      <c r="I4" s="147" t="s">
        <v>704</v>
      </c>
      <c r="J4" s="15"/>
    </row>
    <row r="5" spans="2:13" ht="14.65" thickBot="1"/>
    <row r="6" spans="2:13">
      <c r="C6" s="148"/>
      <c r="D6" s="148"/>
      <c r="E6" s="149"/>
      <c r="F6" s="148"/>
      <c r="J6" s="148"/>
      <c r="K6" s="150"/>
      <c r="L6" s="148"/>
      <c r="M6" s="148"/>
    </row>
    <row r="7" spans="2:13">
      <c r="B7" s="17" t="s">
        <v>687</v>
      </c>
      <c r="D7" s="6">
        <v>0</v>
      </c>
      <c r="E7" s="151"/>
      <c r="I7" s="17" t="s">
        <v>713</v>
      </c>
      <c r="K7" s="152">
        <v>0</v>
      </c>
    </row>
    <row r="8" spans="2:13">
      <c r="B8" s="17" t="s">
        <v>748</v>
      </c>
      <c r="D8" s="6">
        <v>0</v>
      </c>
      <c r="E8" s="151"/>
      <c r="I8" s="17" t="s">
        <v>705</v>
      </c>
      <c r="K8" s="152">
        <v>0</v>
      </c>
    </row>
    <row r="9" spans="2:13">
      <c r="B9" s="17" t="s">
        <v>688</v>
      </c>
      <c r="D9" s="6">
        <v>0</v>
      </c>
      <c r="E9" s="151"/>
      <c r="I9" s="17" t="s">
        <v>706</v>
      </c>
      <c r="K9" s="152">
        <v>0</v>
      </c>
    </row>
    <row r="10" spans="2:13">
      <c r="B10" s="17" t="s">
        <v>749</v>
      </c>
      <c r="D10" s="6">
        <v>0</v>
      </c>
      <c r="E10" s="151"/>
      <c r="I10" s="17" t="s">
        <v>707</v>
      </c>
      <c r="K10" s="152">
        <v>0</v>
      </c>
    </row>
    <row r="11" spans="2:13">
      <c r="B11" s="17" t="s">
        <v>689</v>
      </c>
      <c r="D11" s="6">
        <v>0</v>
      </c>
      <c r="E11" s="151"/>
      <c r="I11" s="17" t="s">
        <v>718</v>
      </c>
      <c r="K11" s="152">
        <v>0</v>
      </c>
    </row>
    <row r="12" spans="2:13">
      <c r="B12" s="17" t="s">
        <v>690</v>
      </c>
      <c r="D12" s="6">
        <v>0</v>
      </c>
      <c r="E12" s="153"/>
      <c r="I12" s="17" t="s">
        <v>708</v>
      </c>
      <c r="K12" s="152">
        <v>0</v>
      </c>
      <c r="L12" s="6"/>
    </row>
    <row r="13" spans="2:13">
      <c r="B13" s="17" t="s">
        <v>691</v>
      </c>
      <c r="D13" s="6">
        <v>0</v>
      </c>
      <c r="E13" s="153"/>
      <c r="I13" s="17" t="s">
        <v>709</v>
      </c>
      <c r="K13" s="152"/>
      <c r="L13" s="6">
        <v>0</v>
      </c>
    </row>
    <row r="14" spans="2:13">
      <c r="B14" s="17" t="s">
        <v>692</v>
      </c>
      <c r="D14" s="6">
        <v>0</v>
      </c>
      <c r="E14" s="151"/>
      <c r="I14" s="17" t="s">
        <v>710</v>
      </c>
      <c r="K14" s="152"/>
      <c r="L14" s="6">
        <v>0</v>
      </c>
    </row>
    <row r="15" spans="2:13">
      <c r="B15" s="17" t="s">
        <v>693</v>
      </c>
      <c r="D15" s="6">
        <v>0</v>
      </c>
      <c r="E15" s="151"/>
      <c r="K15" s="152"/>
      <c r="L15" s="6">
        <v>0</v>
      </c>
    </row>
    <row r="16" spans="2:13">
      <c r="B16" s="17" t="s">
        <v>694</v>
      </c>
      <c r="D16" s="6">
        <v>0</v>
      </c>
      <c r="E16" s="151"/>
      <c r="K16" s="152"/>
      <c r="L16" s="6">
        <v>0</v>
      </c>
    </row>
    <row r="17" spans="2:12">
      <c r="B17" s="17" t="s">
        <v>695</v>
      </c>
      <c r="D17" s="6">
        <v>0</v>
      </c>
      <c r="E17" s="151"/>
      <c r="K17" s="152"/>
    </row>
    <row r="18" spans="2:12">
      <c r="B18" s="17" t="s">
        <v>696</v>
      </c>
      <c r="D18" s="6"/>
      <c r="E18" s="153">
        <v>0</v>
      </c>
      <c r="K18" s="152"/>
    </row>
    <row r="19" spans="2:12">
      <c r="B19" s="17" t="s">
        <v>753</v>
      </c>
      <c r="E19" s="153">
        <v>0</v>
      </c>
      <c r="K19" s="154"/>
      <c r="L19" s="6"/>
    </row>
    <row r="20" spans="2:12">
      <c r="B20" s="17" t="s">
        <v>697</v>
      </c>
      <c r="E20" s="153">
        <v>0</v>
      </c>
      <c r="K20" s="154"/>
      <c r="L20" s="6"/>
    </row>
    <row r="21" spans="2:12">
      <c r="B21" s="17" t="s">
        <v>698</v>
      </c>
      <c r="E21" s="153">
        <v>0</v>
      </c>
      <c r="K21" s="154"/>
      <c r="L21" s="6"/>
    </row>
    <row r="22" spans="2:12">
      <c r="B22" s="17" t="s">
        <v>699</v>
      </c>
      <c r="E22" s="153">
        <v>0</v>
      </c>
      <c r="K22" s="154"/>
      <c r="L22" s="6"/>
    </row>
    <row r="23" spans="2:12">
      <c r="B23" s="17" t="s">
        <v>700</v>
      </c>
      <c r="E23" s="153">
        <v>0</v>
      </c>
      <c r="K23" s="154"/>
      <c r="L23" s="6"/>
    </row>
    <row r="24" spans="2:12">
      <c r="B24" s="17" t="s">
        <v>701</v>
      </c>
      <c r="D24" s="6"/>
      <c r="E24" s="153">
        <v>0</v>
      </c>
      <c r="K24" s="152"/>
    </row>
    <row r="25" spans="2:12">
      <c r="B25" s="17" t="s">
        <v>702</v>
      </c>
      <c r="D25" s="6">
        <v>0</v>
      </c>
      <c r="E25" s="153"/>
      <c r="K25" s="154"/>
      <c r="L25" s="6"/>
    </row>
    <row r="26" spans="2:12">
      <c r="B26" s="17" t="s">
        <v>703</v>
      </c>
      <c r="D26" s="6"/>
      <c r="E26" s="153">
        <v>0</v>
      </c>
      <c r="K26" s="152"/>
    </row>
    <row r="27" spans="2:12">
      <c r="E27" s="151"/>
      <c r="K27" s="154"/>
    </row>
    <row r="28" spans="2:12">
      <c r="E28" s="151"/>
      <c r="K28" s="154"/>
    </row>
    <row r="29" spans="2:12">
      <c r="D29" s="25">
        <f>SUM(D7:D28)</f>
        <v>0</v>
      </c>
      <c r="E29" s="25">
        <f>SUM(E7:E28)</f>
        <v>0</v>
      </c>
      <c r="K29" s="25">
        <f>SUM(K7:K28)</f>
        <v>0</v>
      </c>
      <c r="L29" s="25">
        <f>SUM(L7:L28)</f>
        <v>0</v>
      </c>
    </row>
    <row r="30" spans="2:12">
      <c r="B30" s="147" t="s">
        <v>750</v>
      </c>
      <c r="C30" s="147"/>
      <c r="D30" s="155"/>
      <c r="E30" s="34">
        <f>IF((E29&lt;D29),(D29-E29),0)</f>
        <v>0</v>
      </c>
      <c r="F30" s="155"/>
      <c r="G30" s="155"/>
      <c r="H30" s="155"/>
      <c r="I30" s="147" t="s">
        <v>711</v>
      </c>
      <c r="J30" s="147"/>
      <c r="K30" s="155"/>
      <c r="L30" s="34">
        <f>IF((L29&lt;K29),(K29-L29),0)</f>
        <v>0</v>
      </c>
    </row>
    <row r="31" spans="2:12">
      <c r="B31" s="147" t="s">
        <v>751</v>
      </c>
      <c r="C31" s="155"/>
      <c r="D31" s="34">
        <f>IF((E29&gt;D29),(E29-D29),0)</f>
        <v>0</v>
      </c>
      <c r="E31" s="155"/>
      <c r="F31" s="155"/>
      <c r="G31" s="155"/>
      <c r="H31" s="155"/>
      <c r="I31" s="147" t="s">
        <v>712</v>
      </c>
      <c r="J31" s="155"/>
      <c r="K31" s="34">
        <f>IF((L29&gt;K29),(L29-K29),0)</f>
        <v>0</v>
      </c>
      <c r="L31" s="155"/>
    </row>
  </sheetData>
  <sheetProtection password="DFF0" sheet="1" formatCells="0" formatColumns="0" formatRows="0" insertColumns="0" insertRows="0" insertHyperlinks="0" deleteColumns="0" deleteRows="0" sort="0" autoFilter="0" pivotTables="0"/>
  <hyperlinks>
    <hyperlink ref="L2" r:id="rId1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K29"/>
  <sheetViews>
    <sheetView workbookViewId="0">
      <selection activeCell="F7" sqref="F7"/>
    </sheetView>
  </sheetViews>
  <sheetFormatPr defaultColWidth="9.1328125" defaultRowHeight="14.25"/>
  <cols>
    <col min="1" max="1" width="2.33203125" style="17" customWidth="1"/>
    <col min="2" max="2" width="9.1328125" style="112"/>
    <col min="3" max="4" width="18.6640625" style="17" customWidth="1"/>
    <col min="5" max="5" width="23.6640625" style="113" customWidth="1"/>
    <col min="6" max="6" width="24.6640625" style="115" customWidth="1"/>
    <col min="7" max="7" width="17.6640625" style="113" customWidth="1"/>
    <col min="8" max="8" width="24.86328125" style="113" customWidth="1"/>
    <col min="9" max="9" width="23.6640625" style="17" customWidth="1"/>
    <col min="10" max="10" width="99.1328125" style="17" customWidth="1"/>
    <col min="11" max="16384" width="9.1328125" style="17"/>
  </cols>
  <sheetData>
    <row r="1" spans="2:11" s="10" customFormat="1">
      <c r="E1" s="23"/>
      <c r="F1" s="23"/>
      <c r="G1" s="23"/>
      <c r="I1" s="96" t="s">
        <v>663</v>
      </c>
      <c r="K1" s="14"/>
    </row>
    <row r="2" spans="2:11" s="10" customFormat="1">
      <c r="E2" s="23"/>
      <c r="F2" s="23"/>
      <c r="G2" s="23"/>
      <c r="I2" s="97" t="s">
        <v>662</v>
      </c>
      <c r="K2" s="14"/>
    </row>
    <row r="3" spans="2:11" s="24" customFormat="1">
      <c r="B3" s="98" t="s">
        <v>674</v>
      </c>
      <c r="E3" s="99"/>
      <c r="F3" s="100"/>
      <c r="G3" s="106"/>
      <c r="H3" s="99"/>
    </row>
    <row r="4" spans="2:11" s="24" customFormat="1">
      <c r="B4" s="98"/>
      <c r="E4" s="99"/>
      <c r="F4" s="100"/>
      <c r="G4" s="99"/>
      <c r="H4" s="99"/>
    </row>
    <row r="5" spans="2:11" s="101" customFormat="1">
      <c r="C5" s="101" t="s">
        <v>739</v>
      </c>
      <c r="D5" s="101" t="s">
        <v>675</v>
      </c>
      <c r="E5" s="102" t="s">
        <v>676</v>
      </c>
      <c r="F5" s="103" t="s">
        <v>677</v>
      </c>
      <c r="G5" s="102" t="s">
        <v>678</v>
      </c>
      <c r="H5" s="102" t="s">
        <v>679</v>
      </c>
      <c r="I5" s="101" t="s">
        <v>680</v>
      </c>
    </row>
    <row r="6" spans="2:11" s="101" customFormat="1">
      <c r="C6" s="101" t="s">
        <v>681</v>
      </c>
      <c r="D6" s="101" t="s">
        <v>681</v>
      </c>
      <c r="E6" s="102" t="s">
        <v>682</v>
      </c>
      <c r="F6" s="103" t="s">
        <v>683</v>
      </c>
      <c r="G6" s="102" t="s">
        <v>684</v>
      </c>
      <c r="H6" s="102" t="s">
        <v>685</v>
      </c>
      <c r="I6" s="101" t="s">
        <v>686</v>
      </c>
    </row>
    <row r="7" spans="2:11" s="64" customFormat="1" ht="21" customHeight="1">
      <c r="B7" s="89" t="s">
        <v>762</v>
      </c>
      <c r="C7" s="73">
        <f>+'yi-üfe-dikey'!B14</f>
        <v>3746.52</v>
      </c>
      <c r="D7" s="73">
        <v>2915.02</v>
      </c>
      <c r="E7" s="74">
        <f>ROUND(((C7-D7)/D7),5)</f>
        <v>0.28525</v>
      </c>
      <c r="F7" s="110">
        <v>0.54820000000000002</v>
      </c>
      <c r="G7" s="74">
        <f>ROUND((E7/F7),5)</f>
        <v>0.52034000000000002</v>
      </c>
      <c r="H7" s="111">
        <f>IF(G7&gt;1,1,G7)</f>
        <v>0.52034000000000002</v>
      </c>
      <c r="I7" s="95" t="str">
        <f t="shared" ref="I7" si="0">IF((H7=1),"Maliyete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8" spans="2:11" s="64" customFormat="1" ht="21" customHeight="1">
      <c r="B8" s="89" t="s">
        <v>755</v>
      </c>
      <c r="C8" s="73">
        <f>+'yi-üfe-dikey'!B11</f>
        <v>3659.84</v>
      </c>
      <c r="D8" s="73">
        <v>2915.02</v>
      </c>
      <c r="E8" s="74">
        <f>ROUND(((C8-D8)/D8),5)</f>
        <v>0.25551000000000001</v>
      </c>
      <c r="F8" s="110">
        <v>0.54820000000000002</v>
      </c>
      <c r="G8" s="74">
        <f>ROUND((E8/F8),5)</f>
        <v>0.46609</v>
      </c>
      <c r="H8" s="111">
        <f>IF(G8&gt;1,1,G8)</f>
        <v>0.46609</v>
      </c>
      <c r="I8" s="95" t="str">
        <f t="shared" ref="I8" si="1">IF((H8=1),"Maliyete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9" spans="2:11" s="64" customFormat="1" ht="21" customHeight="1">
      <c r="B9" s="89" t="s">
        <v>740</v>
      </c>
      <c r="C9" s="73">
        <f>+'yi-üfe-dikey'!B8</f>
        <v>3483.25</v>
      </c>
      <c r="D9" s="73">
        <v>2915.02</v>
      </c>
      <c r="E9" s="74">
        <f>ROUND(((C9-D9)/D9),5)</f>
        <v>0.19492999999999999</v>
      </c>
      <c r="F9" s="110">
        <v>0.54820000000000002</v>
      </c>
      <c r="G9" s="74">
        <f>ROUND((E9/F9),5)</f>
        <v>0.35558000000000001</v>
      </c>
      <c r="H9" s="111">
        <f>IF(G9&gt;1,1,G9)</f>
        <v>0.35558000000000001</v>
      </c>
      <c r="I9" s="95" t="str">
        <f t="shared" ref="I9:I14" si="2">IF((H9=1),"Maliyete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10" spans="2:11" ht="21" customHeight="1">
      <c r="B10" s="104">
        <v>2023</v>
      </c>
      <c r="C10" s="105">
        <v>2915.02</v>
      </c>
      <c r="D10" s="105">
        <v>2021.19</v>
      </c>
      <c r="E10" s="106">
        <f>ROUND(((C10-D10)/D10),5)</f>
        <v>0.44223000000000001</v>
      </c>
      <c r="F10" s="107">
        <v>0.1535</v>
      </c>
      <c r="G10" s="106">
        <f>ROUND((E10/F10),5)</f>
        <v>2.8809800000000001</v>
      </c>
      <c r="H10" s="108">
        <f>IF(G10&gt;1,1,G10)</f>
        <v>1</v>
      </c>
      <c r="I10" s="104" t="str">
        <f t="shared" si="2"/>
        <v>Maliyete Eklenen Finansman Giderinin Tamamı ROFM Kabul Edilecek</v>
      </c>
    </row>
    <row r="11" spans="2:11" ht="21" customHeight="1">
      <c r="B11" s="104">
        <v>2022</v>
      </c>
      <c r="C11" s="105">
        <v>2021.19</v>
      </c>
      <c r="D11" s="105">
        <v>1022.25</v>
      </c>
      <c r="E11" s="106">
        <f>ROUND(((C11-D11)/D11),5)</f>
        <v>0.97719999999999996</v>
      </c>
      <c r="F11" s="107">
        <v>0.246</v>
      </c>
      <c r="G11" s="106">
        <f>ROUND((E11/F11),5)</f>
        <v>3.9723600000000001</v>
      </c>
      <c r="H11" s="108">
        <f>IF(G11&gt;1,1,G11)</f>
        <v>1</v>
      </c>
      <c r="I11" s="104" t="str">
        <f t="shared" si="2"/>
        <v>Maliyete Eklenen Finansman Giderinin Tamamı ROFM Kabul Edilecek</v>
      </c>
    </row>
    <row r="12" spans="2:11" ht="21" customHeight="1">
      <c r="B12" s="104">
        <v>2021</v>
      </c>
      <c r="C12" s="105">
        <v>1022.25</v>
      </c>
      <c r="D12" s="109">
        <v>568.27</v>
      </c>
      <c r="E12" s="106">
        <f t="shared" ref="E12:E28" si="3">ROUND(((C12-D12)/D12),5)</f>
        <v>0.79888000000000003</v>
      </c>
      <c r="F12" s="107">
        <v>0.20449999999999999</v>
      </c>
      <c r="G12" s="106">
        <f t="shared" ref="G12:G28" si="4">ROUND((E12/F12),5)</f>
        <v>3.9064999999999999</v>
      </c>
      <c r="H12" s="108">
        <f t="shared" ref="H12:H28" si="5">IF(G12&gt;1,1,G12)</f>
        <v>1</v>
      </c>
      <c r="I12" s="104" t="str">
        <f t="shared" si="2"/>
        <v>Maliyete Eklenen Finansman Giderinin Tamamı ROFM Kabul Edilecek</v>
      </c>
    </row>
    <row r="13" spans="2:11" ht="21" customHeight="1">
      <c r="B13" s="104">
        <v>2020</v>
      </c>
      <c r="C13" s="109">
        <v>568.27</v>
      </c>
      <c r="D13" s="109">
        <v>454.08</v>
      </c>
      <c r="E13" s="106">
        <f t="shared" si="3"/>
        <v>0.25147999999999998</v>
      </c>
      <c r="F13" s="107">
        <v>0.1182</v>
      </c>
      <c r="G13" s="106">
        <f t="shared" si="4"/>
        <v>2.12758</v>
      </c>
      <c r="H13" s="108">
        <f t="shared" si="5"/>
        <v>1</v>
      </c>
      <c r="I13" s="104" t="str">
        <f t="shared" si="2"/>
        <v>Maliyete Eklenen Finansman Giderinin Tamamı ROFM Kabul Edilecek</v>
      </c>
    </row>
    <row r="14" spans="2:11" ht="21" customHeight="1">
      <c r="B14" s="95">
        <v>2019</v>
      </c>
      <c r="C14" s="63">
        <v>454.08</v>
      </c>
      <c r="D14" s="63">
        <v>422.94</v>
      </c>
      <c r="E14" s="74">
        <f t="shared" si="3"/>
        <v>7.3630000000000001E-2</v>
      </c>
      <c r="F14" s="110">
        <v>0.27239999999999998</v>
      </c>
      <c r="G14" s="74">
        <f t="shared" si="4"/>
        <v>0.27029999999999998</v>
      </c>
      <c r="H14" s="111">
        <f t="shared" si="5"/>
        <v>0.27029999999999998</v>
      </c>
      <c r="I14" s="95" t="str">
        <f t="shared" si="2"/>
        <v>Maliyete Eklenen Finansman Giderinin bu oran ile çarpılması sonucu bulunacak tutar ROFM Kabul Edilecek</v>
      </c>
    </row>
    <row r="15" spans="2:11" ht="21" customHeight="1">
      <c r="B15" s="104">
        <v>2018</v>
      </c>
      <c r="C15" s="109">
        <v>422.94</v>
      </c>
      <c r="D15" s="109">
        <v>316.48</v>
      </c>
      <c r="E15" s="106">
        <f t="shared" si="3"/>
        <v>0.33639000000000002</v>
      </c>
      <c r="F15" s="107">
        <v>0.17</v>
      </c>
      <c r="G15" s="106">
        <f t="shared" si="4"/>
        <v>1.9787600000000001</v>
      </c>
      <c r="H15" s="108">
        <f t="shared" si="5"/>
        <v>1</v>
      </c>
      <c r="I15" s="104" t="str">
        <f t="shared" ref="I15:I28" si="6">IF((H15=1),"Maliyete Eklenen Finansman Giderinin Tamamı ROFM Kabul Edilecek","Maliyete Eklenen Finansman Giderinin bu oran ile çarpılması sonucu bulunacak tutar ROFM Kabul Edilecek")</f>
        <v>Maliyete Eklenen Finansman Giderinin Tamamı ROFM Kabul Edilecek</v>
      </c>
    </row>
    <row r="16" spans="2:11" ht="21" customHeight="1">
      <c r="B16" s="104">
        <v>2017</v>
      </c>
      <c r="C16" s="109">
        <v>316.48</v>
      </c>
      <c r="D16" s="109">
        <v>274.08999999999997</v>
      </c>
      <c r="E16" s="106">
        <f t="shared" si="3"/>
        <v>0.15465999999999999</v>
      </c>
      <c r="F16" s="107">
        <v>0.14019999999999999</v>
      </c>
      <c r="G16" s="106">
        <f t="shared" si="4"/>
        <v>1.10314</v>
      </c>
      <c r="H16" s="108">
        <f t="shared" si="5"/>
        <v>1</v>
      </c>
      <c r="I16" s="104" t="str">
        <f t="shared" si="6"/>
        <v>Maliyete Eklenen Finansman Giderinin Tamamı ROFM Kabul Edilecek</v>
      </c>
    </row>
    <row r="17" spans="2:10" ht="21" customHeight="1">
      <c r="B17" s="95">
        <v>2016</v>
      </c>
      <c r="C17" s="63">
        <v>274.08999999999997</v>
      </c>
      <c r="D17" s="63">
        <v>249.31</v>
      </c>
      <c r="E17" s="74">
        <f t="shared" si="3"/>
        <v>9.9390000000000006E-2</v>
      </c>
      <c r="F17" s="110">
        <v>0.1588</v>
      </c>
      <c r="G17" s="74">
        <f t="shared" si="4"/>
        <v>0.62587999999999999</v>
      </c>
      <c r="H17" s="111">
        <f t="shared" si="5"/>
        <v>0.62587999999999999</v>
      </c>
      <c r="I17" s="95" t="str">
        <f t="shared" si="6"/>
        <v>Maliyete Eklenen Finansman Giderinin bu oran ile çarpılması sonucu bulunacak tutar ROFM Kabul Edilecek</v>
      </c>
      <c r="J17" s="64"/>
    </row>
    <row r="18" spans="2:10" ht="21" customHeight="1">
      <c r="B18" s="95">
        <v>2015</v>
      </c>
      <c r="C18" s="63">
        <v>249.31</v>
      </c>
      <c r="D18" s="63">
        <v>235.84</v>
      </c>
      <c r="E18" s="74">
        <f t="shared" si="3"/>
        <v>5.7110000000000001E-2</v>
      </c>
      <c r="F18" s="110">
        <v>0.12889999999999999</v>
      </c>
      <c r="G18" s="74">
        <f t="shared" si="4"/>
        <v>0.44306000000000001</v>
      </c>
      <c r="H18" s="111">
        <f t="shared" si="5"/>
        <v>0.44306000000000001</v>
      </c>
      <c r="I18" s="95" t="str">
        <f t="shared" si="6"/>
        <v>Maliyete Eklenen Finansman Giderinin bu oran ile çarpılması sonucu bulunacak tutar ROFM Kabul Edilecek</v>
      </c>
      <c r="J18" s="64"/>
    </row>
    <row r="19" spans="2:10" ht="21" customHeight="1">
      <c r="B19" s="95">
        <v>2014</v>
      </c>
      <c r="C19" s="63">
        <v>235.84</v>
      </c>
      <c r="D19" s="63">
        <v>221.74</v>
      </c>
      <c r="E19" s="74">
        <f t="shared" si="3"/>
        <v>6.3589999999999994E-2</v>
      </c>
      <c r="F19" s="110">
        <v>0.1343</v>
      </c>
      <c r="G19" s="74">
        <f t="shared" si="4"/>
        <v>0.47349000000000002</v>
      </c>
      <c r="H19" s="111">
        <f t="shared" si="5"/>
        <v>0.47349000000000002</v>
      </c>
      <c r="I19" s="95" t="str">
        <f t="shared" si="6"/>
        <v>Maliyete Eklenen Finansman Giderinin bu oran ile çarpılması sonucu bulunacak tutar ROFM Kabul Edilecek</v>
      </c>
      <c r="J19" s="64"/>
    </row>
    <row r="20" spans="2:10" ht="21" customHeight="1">
      <c r="B20" s="95">
        <v>2013</v>
      </c>
      <c r="C20" s="63">
        <v>221.74</v>
      </c>
      <c r="D20" s="63">
        <v>207.29</v>
      </c>
      <c r="E20" s="74">
        <f t="shared" si="3"/>
        <v>6.9709999999999994E-2</v>
      </c>
      <c r="F20" s="110">
        <v>0.1222</v>
      </c>
      <c r="G20" s="74">
        <f t="shared" si="4"/>
        <v>0.57045999999999997</v>
      </c>
      <c r="H20" s="111">
        <f t="shared" si="5"/>
        <v>0.57045999999999997</v>
      </c>
      <c r="I20" s="95" t="str">
        <f t="shared" si="6"/>
        <v>Maliyete Eklenen Finansman Giderinin bu oran ile çarpılması sonucu bulunacak tutar ROFM Kabul Edilecek</v>
      </c>
      <c r="J20" s="64"/>
    </row>
    <row r="21" spans="2:10" ht="21" customHeight="1">
      <c r="B21" s="95">
        <v>2012</v>
      </c>
      <c r="C21" s="63">
        <v>207.29</v>
      </c>
      <c r="D21" s="63">
        <v>202.33</v>
      </c>
      <c r="E21" s="74">
        <f t="shared" si="3"/>
        <v>2.4510000000000001E-2</v>
      </c>
      <c r="F21" s="110">
        <v>0.15010000000000001</v>
      </c>
      <c r="G21" s="74">
        <f t="shared" si="4"/>
        <v>0.16328999999999999</v>
      </c>
      <c r="H21" s="111">
        <f t="shared" si="5"/>
        <v>0.16328999999999999</v>
      </c>
      <c r="I21" s="95" t="str">
        <f t="shared" si="6"/>
        <v>Maliyete Eklenen Finansman Giderinin bu oran ile çarpılması sonucu bulunacak tutar ROFM Kabul Edilecek</v>
      </c>
      <c r="J21" s="64"/>
    </row>
    <row r="22" spans="2:10" ht="21" customHeight="1">
      <c r="B22" s="104">
        <v>2011</v>
      </c>
      <c r="C22" s="109">
        <v>202.33</v>
      </c>
      <c r="D22" s="109">
        <v>178.54</v>
      </c>
      <c r="E22" s="106">
        <f t="shared" si="3"/>
        <v>0.13325000000000001</v>
      </c>
      <c r="F22" s="107">
        <v>8.3400000000000002E-2</v>
      </c>
      <c r="G22" s="106">
        <f t="shared" si="4"/>
        <v>1.59772</v>
      </c>
      <c r="H22" s="108">
        <f t="shared" si="5"/>
        <v>1</v>
      </c>
      <c r="I22" s="104" t="str">
        <f t="shared" si="6"/>
        <v>Maliyete Eklenen Finansman Giderinin Tamamı ROFM Kabul Edilecek</v>
      </c>
    </row>
    <row r="23" spans="2:10" ht="21" customHeight="1">
      <c r="B23" s="95">
        <v>2010</v>
      </c>
      <c r="C23" s="63">
        <v>178.54</v>
      </c>
      <c r="D23" s="63">
        <v>163.98</v>
      </c>
      <c r="E23" s="74">
        <f t="shared" si="3"/>
        <v>8.8789999999999994E-2</v>
      </c>
      <c r="F23" s="110">
        <v>9.1399999999999995E-2</v>
      </c>
      <c r="G23" s="74">
        <f t="shared" si="4"/>
        <v>0.97143999999999997</v>
      </c>
      <c r="H23" s="111">
        <f t="shared" si="5"/>
        <v>0.97143999999999997</v>
      </c>
      <c r="I23" s="95" t="str">
        <f t="shared" si="6"/>
        <v>Maliyete Eklenen Finansman Giderinin bu oran ile çarpılması sonucu bulunacak tutar ROFM Kabul Edilecek</v>
      </c>
      <c r="J23" s="64"/>
    </row>
    <row r="24" spans="2:10" ht="21" customHeight="1">
      <c r="B24" s="95">
        <v>2009</v>
      </c>
      <c r="C24" s="63">
        <v>163.98</v>
      </c>
      <c r="D24" s="63">
        <v>154.80000000000001</v>
      </c>
      <c r="E24" s="74">
        <f t="shared" si="3"/>
        <v>5.9299999999999999E-2</v>
      </c>
      <c r="F24" s="110">
        <v>0.21490000000000001</v>
      </c>
      <c r="G24" s="74">
        <f t="shared" si="4"/>
        <v>0.27594000000000002</v>
      </c>
      <c r="H24" s="111">
        <f t="shared" si="5"/>
        <v>0.27594000000000002</v>
      </c>
      <c r="I24" s="95" t="str">
        <f t="shared" si="6"/>
        <v>Maliyete Eklenen Finansman Giderinin bu oran ile çarpılması sonucu bulunacak tutar ROFM Kabul Edilecek</v>
      </c>
      <c r="J24" s="64"/>
    </row>
    <row r="25" spans="2:10" ht="21" customHeight="1">
      <c r="B25" s="95">
        <v>2008</v>
      </c>
      <c r="C25" s="63">
        <v>154.80000000000001</v>
      </c>
      <c r="D25" s="63">
        <v>143.19</v>
      </c>
      <c r="E25" s="74">
        <f t="shared" si="3"/>
        <v>8.1079999999999999E-2</v>
      </c>
      <c r="F25" s="110">
        <v>0.1714</v>
      </c>
      <c r="G25" s="74">
        <f t="shared" si="4"/>
        <v>0.47305000000000003</v>
      </c>
      <c r="H25" s="111">
        <f t="shared" si="5"/>
        <v>0.47305000000000003</v>
      </c>
      <c r="I25" s="95" t="str">
        <f t="shared" si="6"/>
        <v>Maliyete Eklenen Finansman Giderinin bu oran ile çarpılması sonucu bulunacak tutar ROFM Kabul Edilecek</v>
      </c>
      <c r="J25" s="64"/>
    </row>
    <row r="26" spans="2:10" ht="21" customHeight="1">
      <c r="B26" s="95">
        <v>2007</v>
      </c>
      <c r="C26" s="63">
        <v>143.19</v>
      </c>
      <c r="D26" s="63">
        <v>135.16</v>
      </c>
      <c r="E26" s="74">
        <f t="shared" si="3"/>
        <v>5.9409999999999998E-2</v>
      </c>
      <c r="F26" s="110">
        <v>0.1938</v>
      </c>
      <c r="G26" s="74">
        <f t="shared" si="4"/>
        <v>0.30654999999999999</v>
      </c>
      <c r="H26" s="111">
        <f t="shared" si="5"/>
        <v>0.30654999999999999</v>
      </c>
      <c r="I26" s="95" t="str">
        <f t="shared" si="6"/>
        <v>Maliyete Eklenen Finansman Giderinin bu oran ile çarpılması sonucu bulunacak tutar ROFM Kabul Edilecek</v>
      </c>
      <c r="J26" s="64"/>
    </row>
    <row r="27" spans="2:10" ht="21" customHeight="1">
      <c r="B27" s="95">
        <v>2006</v>
      </c>
      <c r="C27" s="63">
        <v>135.16</v>
      </c>
      <c r="D27" s="63">
        <v>121.14</v>
      </c>
      <c r="E27" s="74">
        <f t="shared" si="3"/>
        <v>0.11573</v>
      </c>
      <c r="F27" s="110">
        <v>0.1797</v>
      </c>
      <c r="G27" s="74">
        <f t="shared" si="4"/>
        <v>0.64402000000000004</v>
      </c>
      <c r="H27" s="111">
        <f t="shared" si="5"/>
        <v>0.64402000000000004</v>
      </c>
      <c r="I27" s="95" t="str">
        <f t="shared" si="6"/>
        <v>Maliyete Eklenen Finansman Giderinin bu oran ile çarpılması sonucu bulunacak tutar ROFM Kabul Edilecek</v>
      </c>
      <c r="J27" s="64"/>
    </row>
    <row r="28" spans="2:10" ht="21" customHeight="1">
      <c r="B28" s="95">
        <v>2005</v>
      </c>
      <c r="C28" s="63">
        <v>121.14</v>
      </c>
      <c r="D28" s="63">
        <v>115.87</v>
      </c>
      <c r="E28" s="74">
        <f t="shared" si="3"/>
        <v>4.548E-2</v>
      </c>
      <c r="F28" s="110">
        <v>0.24179999999999999</v>
      </c>
      <c r="G28" s="74">
        <f t="shared" si="4"/>
        <v>0.18809000000000001</v>
      </c>
      <c r="H28" s="111">
        <f t="shared" si="5"/>
        <v>0.18809000000000001</v>
      </c>
      <c r="I28" s="95" t="str">
        <f t="shared" si="6"/>
        <v>Maliyete Eklenen Finansman Giderinin bu oran ile çarpılması sonucu bulunacak tutar ROFM Kabul Edilecek</v>
      </c>
      <c r="J28" s="64"/>
    </row>
    <row r="29" spans="2:10">
      <c r="F29" s="114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hyperlinks>
    <hyperlink ref="I2" r:id="rId1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3"/>
  <sheetViews>
    <sheetView workbookViewId="0">
      <selection activeCell="I6" sqref="I6"/>
    </sheetView>
  </sheetViews>
  <sheetFormatPr defaultColWidth="9" defaultRowHeight="14.25"/>
  <cols>
    <col min="1" max="1" width="3" style="17" customWidth="1"/>
    <col min="2" max="2" width="14.6640625" style="17" customWidth="1"/>
    <col min="3" max="3" width="15.1328125" style="17" customWidth="1"/>
    <col min="4" max="4" width="16.46484375" style="17" customWidth="1"/>
    <col min="5" max="5" width="9" style="64"/>
    <col min="6" max="6" width="11.86328125" style="64" customWidth="1"/>
    <col min="7" max="8" width="13.86328125" style="64" customWidth="1"/>
    <col min="9" max="9" width="14.86328125" style="64" customWidth="1"/>
    <col min="10" max="10" width="13.53125" style="17" customWidth="1"/>
    <col min="11" max="16384" width="9" style="17"/>
  </cols>
  <sheetData>
    <row r="1" spans="2:11" s="10" customFormat="1">
      <c r="E1" s="55"/>
      <c r="F1" s="55"/>
      <c r="G1" s="55"/>
      <c r="H1" s="55"/>
      <c r="I1" s="46" t="s">
        <v>663</v>
      </c>
    </row>
    <row r="2" spans="2:11" s="10" customFormat="1">
      <c r="E2" s="55"/>
      <c r="F2" s="55"/>
      <c r="G2" s="55"/>
      <c r="H2" s="55"/>
      <c r="I2" s="47" t="s">
        <v>662</v>
      </c>
    </row>
    <row r="3" spans="2:11">
      <c r="B3" s="38" t="s">
        <v>157</v>
      </c>
      <c r="C3" s="39"/>
      <c r="D3" s="39"/>
      <c r="E3" s="75"/>
      <c r="F3" s="75"/>
      <c r="G3" s="75"/>
      <c r="H3" s="75"/>
      <c r="I3" s="75"/>
    </row>
    <row r="5" spans="2:11" ht="28.5">
      <c r="B5" s="36" t="s">
        <v>158</v>
      </c>
      <c r="C5" s="36" t="s">
        <v>160</v>
      </c>
      <c r="D5" s="36" t="s">
        <v>159</v>
      </c>
      <c r="E5" s="56" t="s">
        <v>152</v>
      </c>
      <c r="F5" s="56" t="s">
        <v>154</v>
      </c>
      <c r="G5" s="56" t="s">
        <v>152</v>
      </c>
      <c r="H5" s="56" t="s">
        <v>154</v>
      </c>
      <c r="I5" s="57" t="s">
        <v>156</v>
      </c>
      <c r="K5" s="28"/>
    </row>
    <row r="6" spans="2:11">
      <c r="B6" s="6">
        <v>100000</v>
      </c>
      <c r="C6" s="5">
        <v>45291</v>
      </c>
      <c r="D6" s="5">
        <v>45657</v>
      </c>
      <c r="E6" s="59" t="str">
        <f>YEAR(C6)&amp;TEXT((MONTH(C6)),"00")</f>
        <v>202312</v>
      </c>
      <c r="F6" s="59" t="str">
        <f>YEAR(D6)&amp;TEXT((MONTH(D6)),"00")</f>
        <v>202412</v>
      </c>
      <c r="G6" s="60">
        <f>VLOOKUP(E6,'yi-üfe-dikey'!A:B,2,0)</f>
        <v>2915.02</v>
      </c>
      <c r="H6" s="60">
        <f>VLOOKUP(F6,'yi-üfe-dikey'!A:B,2,0)</f>
        <v>3746.52</v>
      </c>
      <c r="I6" s="60">
        <f>ROUND(B6*(H6-G6)/G6,2)</f>
        <v>28524.68</v>
      </c>
      <c r="K6" s="30"/>
    </row>
    <row r="7" spans="2:11">
      <c r="B7" s="6"/>
      <c r="C7" s="5"/>
      <c r="D7" s="5"/>
      <c r="E7" s="59"/>
      <c r="F7" s="59"/>
      <c r="G7" s="60"/>
      <c r="H7" s="60"/>
      <c r="I7" s="60"/>
      <c r="K7" s="30"/>
    </row>
    <row r="8" spans="2:11">
      <c r="B8" s="6"/>
      <c r="C8" s="5"/>
      <c r="D8" s="5"/>
      <c r="E8" s="59"/>
      <c r="F8" s="59"/>
      <c r="G8" s="60"/>
      <c r="H8" s="60"/>
      <c r="I8" s="60"/>
      <c r="K8" s="30"/>
    </row>
    <row r="9" spans="2:11">
      <c r="B9" s="6"/>
      <c r="C9" s="5"/>
      <c r="D9" s="5"/>
      <c r="E9" s="59"/>
      <c r="F9" s="59"/>
      <c r="G9" s="60"/>
      <c r="H9" s="60"/>
      <c r="I9" s="60"/>
      <c r="K9" s="30"/>
    </row>
    <row r="10" spans="2:11">
      <c r="B10" s="6"/>
      <c r="C10" s="5"/>
      <c r="D10" s="5"/>
      <c r="E10" s="59"/>
      <c r="F10" s="59"/>
      <c r="G10" s="60"/>
      <c r="H10" s="60"/>
      <c r="I10" s="60"/>
      <c r="K10" s="30"/>
    </row>
    <row r="11" spans="2:11">
      <c r="B11" s="6"/>
      <c r="C11" s="5"/>
      <c r="D11" s="5"/>
      <c r="E11" s="59"/>
      <c r="F11" s="59"/>
      <c r="G11" s="60"/>
      <c r="H11" s="60"/>
      <c r="K11" s="30"/>
    </row>
    <row r="13" spans="2:11">
      <c r="J13" s="6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I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1"/>
  <sheetViews>
    <sheetView workbookViewId="0">
      <selection activeCell="B7" sqref="B7"/>
    </sheetView>
  </sheetViews>
  <sheetFormatPr defaultColWidth="9" defaultRowHeight="14.25"/>
  <cols>
    <col min="1" max="1" width="4.1328125" style="17" customWidth="1"/>
    <col min="2" max="2" width="14.6640625" style="17" customWidth="1"/>
    <col min="3" max="3" width="15.1328125" style="17" customWidth="1"/>
    <col min="4" max="4" width="16.46484375" style="17" customWidth="1"/>
    <col min="5" max="5" width="9" style="64"/>
    <col min="6" max="6" width="11.86328125" style="64" customWidth="1"/>
    <col min="7" max="8" width="13.86328125" style="64" customWidth="1"/>
    <col min="9" max="9" width="14.86328125" style="64" customWidth="1"/>
    <col min="10" max="10" width="13.53125" style="64" customWidth="1"/>
    <col min="11" max="16384" width="9" style="17"/>
  </cols>
  <sheetData>
    <row r="1" spans="2:10" s="10" customFormat="1">
      <c r="E1" s="55"/>
      <c r="F1" s="55"/>
      <c r="G1" s="55"/>
      <c r="H1" s="55"/>
      <c r="I1" s="55"/>
      <c r="J1" s="46" t="s">
        <v>663</v>
      </c>
    </row>
    <row r="2" spans="2:10" s="10" customFormat="1">
      <c r="E2" s="55"/>
      <c r="F2" s="55"/>
      <c r="G2" s="55"/>
      <c r="H2" s="55"/>
      <c r="I2" s="55"/>
      <c r="J2" s="47" t="s">
        <v>662</v>
      </c>
    </row>
    <row r="3" spans="2:10">
      <c r="B3" s="38" t="s">
        <v>161</v>
      </c>
      <c r="C3" s="38"/>
      <c r="D3" s="38"/>
      <c r="E3" s="76"/>
      <c r="F3" s="76"/>
      <c r="G3" s="76"/>
      <c r="H3" s="76"/>
      <c r="I3" s="76"/>
      <c r="J3" s="77"/>
    </row>
    <row r="5" spans="2:10" ht="52.5">
      <c r="B5" s="36" t="s">
        <v>162</v>
      </c>
      <c r="C5" s="36" t="s">
        <v>163</v>
      </c>
      <c r="D5" s="36" t="s">
        <v>164</v>
      </c>
      <c r="E5" s="56" t="s">
        <v>152</v>
      </c>
      <c r="F5" s="56" t="s">
        <v>154</v>
      </c>
      <c r="G5" s="56" t="s">
        <v>152</v>
      </c>
      <c r="H5" s="56" t="s">
        <v>154</v>
      </c>
      <c r="I5" s="56" t="s">
        <v>165</v>
      </c>
      <c r="J5" s="57" t="s">
        <v>156</v>
      </c>
    </row>
    <row r="6" spans="2:10">
      <c r="B6" s="6">
        <v>100000</v>
      </c>
      <c r="C6" s="5">
        <v>45291</v>
      </c>
      <c r="D6" s="5">
        <v>45657</v>
      </c>
      <c r="E6" s="59" t="str">
        <f>YEAR(C6)&amp;TEXT((MONTH(C6)),"00")</f>
        <v>202312</v>
      </c>
      <c r="F6" s="59" t="str">
        <f>YEAR(D6)&amp;TEXT((MONTH(D6)),"00")</f>
        <v>202412</v>
      </c>
      <c r="G6" s="60">
        <f>VLOOKUP(E6,'yi-üfe-dikey'!A:B,2,0)</f>
        <v>2915.02</v>
      </c>
      <c r="H6" s="60">
        <f>VLOOKUP(F6,'yi-üfe-dikey'!A:B,2,0)</f>
        <v>3746.52</v>
      </c>
      <c r="I6" s="66">
        <f>'ROFM-KOLAY YÖNTEM'!F9</f>
        <v>0.54820000000000002</v>
      </c>
      <c r="J6" s="60">
        <f>IF((((H6-G6)/G6)/I6)&gt;=1,B6,ROUND(B6*((H6-G6)/G6)/I6,2))</f>
        <v>52033.34</v>
      </c>
    </row>
    <row r="7" spans="2:10">
      <c r="B7" s="6"/>
      <c r="C7" s="5"/>
      <c r="D7" s="5"/>
      <c r="E7" s="59"/>
      <c r="F7" s="59"/>
      <c r="G7" s="60"/>
      <c r="H7" s="60"/>
      <c r="I7" s="66"/>
      <c r="J7" s="60"/>
    </row>
    <row r="8" spans="2:10">
      <c r="B8" s="6"/>
      <c r="C8" s="5"/>
      <c r="D8" s="5"/>
      <c r="E8" s="59"/>
      <c r="F8" s="59"/>
      <c r="G8" s="60"/>
      <c r="H8" s="60"/>
      <c r="I8" s="66"/>
      <c r="J8" s="60"/>
    </row>
    <row r="9" spans="2:10">
      <c r="B9" s="6"/>
      <c r="C9" s="5"/>
      <c r="D9" s="5"/>
      <c r="E9" s="59"/>
      <c r="F9" s="59"/>
      <c r="G9" s="60"/>
      <c r="H9" s="60"/>
      <c r="I9" s="66"/>
    </row>
    <row r="10" spans="2:10">
      <c r="G10" s="60"/>
      <c r="H10" s="66"/>
    </row>
    <row r="11" spans="2:10">
      <c r="J11" s="60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J2" r:id="rId1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195"/>
  <sheetViews>
    <sheetView workbookViewId="0">
      <selection activeCell="C184" sqref="C184"/>
    </sheetView>
  </sheetViews>
  <sheetFormatPr defaultColWidth="9" defaultRowHeight="14.25"/>
  <cols>
    <col min="1" max="1" width="1.86328125" style="17" customWidth="1"/>
    <col min="2" max="2" width="14.1328125" style="123" customWidth="1"/>
    <col min="3" max="3" width="57.6640625" style="64" customWidth="1"/>
    <col min="4" max="4" width="13.1328125" style="63" customWidth="1"/>
    <col min="5" max="5" width="33" style="63" customWidth="1"/>
    <col min="6" max="16384" width="9" style="17"/>
  </cols>
  <sheetData>
    <row r="1" spans="2:5" s="10" customFormat="1">
      <c r="B1" s="55"/>
      <c r="C1" s="55"/>
      <c r="D1" s="54"/>
      <c r="E1" s="46" t="s">
        <v>663</v>
      </c>
    </row>
    <row r="2" spans="2:5" s="10" customFormat="1">
      <c r="B2" s="55"/>
      <c r="C2" s="55"/>
      <c r="D2" s="54"/>
      <c r="E2" s="47" t="s">
        <v>662</v>
      </c>
    </row>
    <row r="3" spans="2:5" s="15" customFormat="1">
      <c r="B3" s="118" t="s">
        <v>129</v>
      </c>
      <c r="C3" s="95" t="s">
        <v>130</v>
      </c>
      <c r="D3" s="119" t="s">
        <v>562</v>
      </c>
      <c r="E3" s="119" t="s">
        <v>558</v>
      </c>
    </row>
    <row r="4" spans="2:5">
      <c r="B4" s="92" t="s">
        <v>370</v>
      </c>
      <c r="C4" s="64" t="s">
        <v>0</v>
      </c>
      <c r="D4" s="63" t="s">
        <v>561</v>
      </c>
      <c r="E4" s="120" t="s">
        <v>584</v>
      </c>
    </row>
    <row r="5" spans="2:5">
      <c r="B5" s="92" t="s">
        <v>371</v>
      </c>
      <c r="C5" s="64" t="s">
        <v>1</v>
      </c>
      <c r="D5" s="63" t="s">
        <v>561</v>
      </c>
      <c r="E5" s="120" t="s">
        <v>584</v>
      </c>
    </row>
    <row r="6" spans="2:5">
      <c r="B6" s="92" t="s">
        <v>372</v>
      </c>
      <c r="C6" s="64" t="s">
        <v>2</v>
      </c>
      <c r="D6" s="63" t="s">
        <v>561</v>
      </c>
      <c r="E6" s="120" t="s">
        <v>584</v>
      </c>
    </row>
    <row r="7" spans="2:5">
      <c r="B7" s="92" t="s">
        <v>373</v>
      </c>
      <c r="C7" s="64" t="s">
        <v>3</v>
      </c>
      <c r="D7" s="63" t="s">
        <v>561</v>
      </c>
      <c r="E7" s="120" t="s">
        <v>584</v>
      </c>
    </row>
    <row r="8" spans="2:5">
      <c r="B8" s="92" t="s">
        <v>374</v>
      </c>
      <c r="C8" s="64" t="s">
        <v>4</v>
      </c>
      <c r="D8" s="63" t="s">
        <v>561</v>
      </c>
      <c r="E8" s="120" t="s">
        <v>584</v>
      </c>
    </row>
    <row r="9" spans="2:5">
      <c r="B9" s="92" t="s">
        <v>375</v>
      </c>
      <c r="C9" s="64" t="s">
        <v>5</v>
      </c>
      <c r="D9" s="63" t="s">
        <v>563</v>
      </c>
      <c r="E9" s="63" t="s">
        <v>559</v>
      </c>
    </row>
    <row r="10" spans="2:5">
      <c r="B10" s="92" t="s">
        <v>376</v>
      </c>
      <c r="C10" s="64" t="s">
        <v>6</v>
      </c>
      <c r="D10" s="63" t="s">
        <v>561</v>
      </c>
      <c r="E10" s="120" t="s">
        <v>584</v>
      </c>
    </row>
    <row r="11" spans="2:5">
      <c r="B11" s="92" t="s">
        <v>377</v>
      </c>
      <c r="C11" s="64" t="s">
        <v>7</v>
      </c>
      <c r="D11" s="63" t="s">
        <v>561</v>
      </c>
      <c r="E11" s="120" t="s">
        <v>584</v>
      </c>
    </row>
    <row r="12" spans="2:5">
      <c r="B12" s="92" t="s">
        <v>378</v>
      </c>
      <c r="C12" s="64" t="s">
        <v>8</v>
      </c>
      <c r="D12" s="63" t="s">
        <v>563</v>
      </c>
      <c r="E12" s="63" t="s">
        <v>559</v>
      </c>
    </row>
    <row r="13" spans="2:5">
      <c r="B13" s="92" t="s">
        <v>379</v>
      </c>
      <c r="C13" s="64" t="s">
        <v>9</v>
      </c>
      <c r="D13" s="63" t="s">
        <v>563</v>
      </c>
      <c r="E13" s="63" t="s">
        <v>559</v>
      </c>
    </row>
    <row r="14" spans="2:5">
      <c r="B14" s="92" t="s">
        <v>380</v>
      </c>
      <c r="C14" s="64" t="s">
        <v>10</v>
      </c>
      <c r="D14" s="63" t="s">
        <v>561</v>
      </c>
      <c r="E14" s="120" t="s">
        <v>584</v>
      </c>
    </row>
    <row r="15" spans="2:5">
      <c r="B15" s="92" t="s">
        <v>381</v>
      </c>
      <c r="C15" s="64" t="s">
        <v>11</v>
      </c>
      <c r="D15" s="63" t="s">
        <v>561</v>
      </c>
      <c r="E15" s="120" t="s">
        <v>584</v>
      </c>
    </row>
    <row r="16" spans="2:5">
      <c r="B16" s="92" t="s">
        <v>382</v>
      </c>
      <c r="C16" s="64" t="s">
        <v>12</v>
      </c>
      <c r="D16" s="63" t="s">
        <v>561</v>
      </c>
      <c r="E16" s="120" t="s">
        <v>584</v>
      </c>
    </row>
    <row r="17" spans="2:5">
      <c r="B17" s="92" t="s">
        <v>383</v>
      </c>
      <c r="C17" s="64" t="s">
        <v>131</v>
      </c>
      <c r="D17" s="63" t="s">
        <v>561</v>
      </c>
      <c r="E17" s="120" t="s">
        <v>584</v>
      </c>
    </row>
    <row r="18" spans="2:5">
      <c r="B18" s="92" t="s">
        <v>384</v>
      </c>
      <c r="C18" s="64" t="s">
        <v>13</v>
      </c>
      <c r="D18" s="63" t="s">
        <v>563</v>
      </c>
      <c r="E18" s="63" t="s">
        <v>565</v>
      </c>
    </row>
    <row r="19" spans="2:5">
      <c r="B19" s="92" t="s">
        <v>553</v>
      </c>
      <c r="C19" s="64" t="s">
        <v>204</v>
      </c>
      <c r="D19" s="63" t="s">
        <v>561</v>
      </c>
      <c r="E19" s="120" t="s">
        <v>584</v>
      </c>
    </row>
    <row r="20" spans="2:5">
      <c r="B20" s="92" t="s">
        <v>385</v>
      </c>
      <c r="C20" s="64" t="s">
        <v>14</v>
      </c>
      <c r="D20" s="63" t="s">
        <v>561</v>
      </c>
      <c r="E20" s="120" t="s">
        <v>584</v>
      </c>
    </row>
    <row r="21" spans="2:5">
      <c r="B21" s="92" t="s">
        <v>386</v>
      </c>
      <c r="C21" s="64" t="s">
        <v>15</v>
      </c>
      <c r="D21" s="63" t="s">
        <v>561</v>
      </c>
      <c r="E21" s="120" t="s">
        <v>584</v>
      </c>
    </row>
    <row r="22" spans="2:5">
      <c r="B22" s="92" t="s">
        <v>387</v>
      </c>
      <c r="C22" s="64" t="s">
        <v>16</v>
      </c>
      <c r="D22" s="63" t="s">
        <v>561</v>
      </c>
      <c r="E22" s="120" t="s">
        <v>584</v>
      </c>
    </row>
    <row r="23" spans="2:5">
      <c r="B23" s="92" t="s">
        <v>388</v>
      </c>
      <c r="C23" s="64" t="s">
        <v>17</v>
      </c>
      <c r="D23" s="63" t="s">
        <v>561</v>
      </c>
      <c r="E23" s="120" t="s">
        <v>584</v>
      </c>
    </row>
    <row r="24" spans="2:5">
      <c r="B24" s="92" t="s">
        <v>389</v>
      </c>
      <c r="C24" s="64" t="s">
        <v>18</v>
      </c>
      <c r="D24" s="63" t="s">
        <v>561</v>
      </c>
      <c r="E24" s="120" t="s">
        <v>584</v>
      </c>
    </row>
    <row r="25" spans="2:5">
      <c r="B25" s="92" t="s">
        <v>390</v>
      </c>
      <c r="C25" s="64" t="s">
        <v>19</v>
      </c>
      <c r="D25" s="63" t="s">
        <v>561</v>
      </c>
      <c r="E25" s="120" t="s">
        <v>584</v>
      </c>
    </row>
    <row r="26" spans="2:5">
      <c r="B26" s="92" t="s">
        <v>391</v>
      </c>
      <c r="C26" s="64" t="s">
        <v>20</v>
      </c>
      <c r="D26" s="63" t="s">
        <v>561</v>
      </c>
      <c r="E26" s="120" t="s">
        <v>584</v>
      </c>
    </row>
    <row r="27" spans="2:5">
      <c r="B27" s="92" t="s">
        <v>392</v>
      </c>
      <c r="C27" s="64" t="s">
        <v>21</v>
      </c>
      <c r="D27" s="63" t="s">
        <v>561</v>
      </c>
      <c r="E27" s="120" t="s">
        <v>584</v>
      </c>
    </row>
    <row r="28" spans="2:5">
      <c r="B28" s="92" t="s">
        <v>393</v>
      </c>
      <c r="C28" s="64" t="s">
        <v>22</v>
      </c>
      <c r="D28" s="63" t="s">
        <v>561</v>
      </c>
      <c r="E28" s="120" t="s">
        <v>584</v>
      </c>
    </row>
    <row r="29" spans="2:5">
      <c r="B29" s="92" t="s">
        <v>394</v>
      </c>
      <c r="C29" s="64" t="s">
        <v>23</v>
      </c>
      <c r="D29" s="63" t="s">
        <v>561</v>
      </c>
      <c r="E29" s="120" t="s">
        <v>584</v>
      </c>
    </row>
    <row r="30" spans="2:5">
      <c r="B30" s="92" t="s">
        <v>395</v>
      </c>
      <c r="C30" s="64" t="s">
        <v>24</v>
      </c>
      <c r="D30" s="63" t="s">
        <v>563</v>
      </c>
      <c r="E30" s="63" t="s">
        <v>560</v>
      </c>
    </row>
    <row r="31" spans="2:5">
      <c r="B31" s="92" t="s">
        <v>396</v>
      </c>
      <c r="C31" s="64" t="s">
        <v>25</v>
      </c>
      <c r="D31" s="63" t="s">
        <v>563</v>
      </c>
      <c r="E31" s="63" t="s">
        <v>560</v>
      </c>
    </row>
    <row r="32" spans="2:5">
      <c r="B32" s="92" t="s">
        <v>397</v>
      </c>
      <c r="C32" s="64" t="s">
        <v>26</v>
      </c>
      <c r="D32" s="63" t="s">
        <v>563</v>
      </c>
      <c r="E32" s="63" t="s">
        <v>560</v>
      </c>
    </row>
    <row r="33" spans="2:5">
      <c r="B33" s="92" t="s">
        <v>398</v>
      </c>
      <c r="C33" s="64" t="s">
        <v>27</v>
      </c>
      <c r="D33" s="63" t="s">
        <v>563</v>
      </c>
      <c r="E33" s="63" t="s">
        <v>560</v>
      </c>
    </row>
    <row r="34" spans="2:5">
      <c r="B34" s="92" t="s">
        <v>399</v>
      </c>
      <c r="C34" s="64" t="s">
        <v>28</v>
      </c>
      <c r="D34" s="63" t="s">
        <v>563</v>
      </c>
      <c r="E34" s="63" t="s">
        <v>560</v>
      </c>
    </row>
    <row r="35" spans="2:5">
      <c r="B35" s="92" t="s">
        <v>400</v>
      </c>
      <c r="C35" s="64" t="s">
        <v>29</v>
      </c>
      <c r="D35" s="63" t="s">
        <v>563</v>
      </c>
      <c r="E35" s="63" t="s">
        <v>560</v>
      </c>
    </row>
    <row r="36" spans="2:5">
      <c r="B36" s="92" t="s">
        <v>401</v>
      </c>
      <c r="C36" s="64" t="s">
        <v>30</v>
      </c>
      <c r="D36" s="63" t="s">
        <v>563</v>
      </c>
      <c r="E36" s="63" t="s">
        <v>565</v>
      </c>
    </row>
    <row r="37" spans="2:5">
      <c r="B37" s="92" t="s">
        <v>402</v>
      </c>
      <c r="C37" s="64" t="s">
        <v>140</v>
      </c>
      <c r="D37" s="63" t="s">
        <v>563</v>
      </c>
      <c r="E37" s="63" t="s">
        <v>560</v>
      </c>
    </row>
    <row r="38" spans="2:5">
      <c r="B38" s="92" t="s">
        <v>403</v>
      </c>
      <c r="C38" s="64" t="s">
        <v>132</v>
      </c>
      <c r="D38" s="63" t="s">
        <v>561</v>
      </c>
      <c r="E38" s="120" t="s">
        <v>584</v>
      </c>
    </row>
    <row r="39" spans="2:5">
      <c r="B39" s="92" t="s">
        <v>404</v>
      </c>
      <c r="C39" s="64" t="s">
        <v>31</v>
      </c>
      <c r="D39" s="63" t="s">
        <v>563</v>
      </c>
      <c r="E39" s="63" t="s">
        <v>560</v>
      </c>
    </row>
    <row r="40" spans="2:5">
      <c r="B40" s="92" t="s">
        <v>405</v>
      </c>
      <c r="C40" s="64" t="s">
        <v>32</v>
      </c>
      <c r="D40" s="63" t="s">
        <v>561</v>
      </c>
      <c r="E40" s="120" t="s">
        <v>584</v>
      </c>
    </row>
    <row r="41" spans="2:5">
      <c r="B41" s="92" t="s">
        <v>406</v>
      </c>
      <c r="C41" s="64" t="s">
        <v>133</v>
      </c>
      <c r="D41" s="63" t="s">
        <v>561</v>
      </c>
      <c r="E41" s="120" t="s">
        <v>584</v>
      </c>
    </row>
    <row r="42" spans="2:5">
      <c r="B42" s="92" t="s">
        <v>407</v>
      </c>
      <c r="C42" s="64" t="s">
        <v>33</v>
      </c>
      <c r="D42" s="63" t="s">
        <v>561</v>
      </c>
      <c r="E42" s="120" t="s">
        <v>584</v>
      </c>
    </row>
    <row r="43" spans="2:5">
      <c r="B43" s="92" t="s">
        <v>408</v>
      </c>
      <c r="C43" s="64" t="s">
        <v>34</v>
      </c>
      <c r="D43" s="63" t="s">
        <v>561</v>
      </c>
      <c r="E43" s="120" t="s">
        <v>584</v>
      </c>
    </row>
    <row r="44" spans="2:5">
      <c r="B44" s="92" t="s">
        <v>409</v>
      </c>
      <c r="C44" s="64" t="s">
        <v>35</v>
      </c>
      <c r="D44" s="63" t="s">
        <v>561</v>
      </c>
      <c r="E44" s="120" t="s">
        <v>584</v>
      </c>
    </row>
    <row r="45" spans="2:5">
      <c r="B45" s="92" t="s">
        <v>410</v>
      </c>
      <c r="C45" s="64" t="s">
        <v>134</v>
      </c>
      <c r="D45" s="63" t="s">
        <v>561</v>
      </c>
      <c r="E45" s="120" t="s">
        <v>584</v>
      </c>
    </row>
    <row r="46" spans="2:5">
      <c r="B46" s="92" t="s">
        <v>411</v>
      </c>
      <c r="C46" s="64" t="s">
        <v>36</v>
      </c>
      <c r="D46" s="63" t="s">
        <v>561</v>
      </c>
      <c r="E46" s="120" t="s">
        <v>584</v>
      </c>
    </row>
    <row r="47" spans="2:5">
      <c r="B47" s="92" t="s">
        <v>412</v>
      </c>
      <c r="C47" s="64" t="s">
        <v>37</v>
      </c>
      <c r="D47" s="63" t="s">
        <v>561</v>
      </c>
      <c r="E47" s="120" t="s">
        <v>584</v>
      </c>
    </row>
    <row r="48" spans="2:5">
      <c r="B48" s="92" t="s">
        <v>413</v>
      </c>
      <c r="C48" s="64" t="s">
        <v>38</v>
      </c>
      <c r="D48" s="63" t="s">
        <v>563</v>
      </c>
      <c r="E48" s="63" t="s">
        <v>560</v>
      </c>
    </row>
    <row r="49" spans="2:5">
      <c r="B49" s="92" t="s">
        <v>414</v>
      </c>
      <c r="C49" s="64" t="s">
        <v>39</v>
      </c>
      <c r="D49" s="63" t="s">
        <v>563</v>
      </c>
      <c r="E49" s="63" t="s">
        <v>560</v>
      </c>
    </row>
    <row r="50" spans="2:5">
      <c r="B50" s="92" t="s">
        <v>415</v>
      </c>
      <c r="C50" s="64" t="s">
        <v>10</v>
      </c>
      <c r="D50" s="63" t="s">
        <v>561</v>
      </c>
      <c r="E50" s="120" t="s">
        <v>584</v>
      </c>
    </row>
    <row r="51" spans="2:5">
      <c r="B51" s="92" t="s">
        <v>416</v>
      </c>
      <c r="C51" s="64" t="s">
        <v>11</v>
      </c>
      <c r="D51" s="63" t="s">
        <v>561</v>
      </c>
      <c r="E51" s="120" t="s">
        <v>584</v>
      </c>
    </row>
    <row r="52" spans="2:5">
      <c r="B52" s="92" t="s">
        <v>417</v>
      </c>
      <c r="C52" s="64" t="s">
        <v>12</v>
      </c>
      <c r="D52" s="63" t="s">
        <v>561</v>
      </c>
      <c r="E52" s="120" t="s">
        <v>584</v>
      </c>
    </row>
    <row r="53" spans="2:5">
      <c r="B53" s="92" t="s">
        <v>418</v>
      </c>
      <c r="C53" s="64" t="s">
        <v>131</v>
      </c>
      <c r="D53" s="63" t="s">
        <v>561</v>
      </c>
      <c r="E53" s="120" t="s">
        <v>584</v>
      </c>
    </row>
    <row r="54" spans="2:5">
      <c r="B54" s="92" t="s">
        <v>419</v>
      </c>
      <c r="C54" s="64" t="s">
        <v>13</v>
      </c>
      <c r="D54" s="63" t="s">
        <v>563</v>
      </c>
      <c r="E54" s="63" t="s">
        <v>565</v>
      </c>
    </row>
    <row r="55" spans="2:5">
      <c r="B55" s="92" t="s">
        <v>420</v>
      </c>
      <c r="C55" s="64" t="s">
        <v>40</v>
      </c>
      <c r="D55" s="63" t="s">
        <v>561</v>
      </c>
      <c r="E55" s="120" t="s">
        <v>584</v>
      </c>
    </row>
    <row r="56" spans="2:5">
      <c r="B56" s="92" t="s">
        <v>421</v>
      </c>
      <c r="C56" s="64" t="s">
        <v>16</v>
      </c>
      <c r="D56" s="63" t="s">
        <v>561</v>
      </c>
      <c r="E56" s="120" t="s">
        <v>584</v>
      </c>
    </row>
    <row r="57" spans="2:5">
      <c r="B57" s="92" t="s">
        <v>422</v>
      </c>
      <c r="C57" s="64" t="s">
        <v>17</v>
      </c>
      <c r="D57" s="63" t="s">
        <v>561</v>
      </c>
      <c r="E57" s="120" t="s">
        <v>584</v>
      </c>
    </row>
    <row r="58" spans="2:5">
      <c r="B58" s="92" t="s">
        <v>423</v>
      </c>
      <c r="C58" s="64" t="s">
        <v>18</v>
      </c>
      <c r="D58" s="63" t="s">
        <v>561</v>
      </c>
      <c r="E58" s="120" t="s">
        <v>584</v>
      </c>
    </row>
    <row r="59" spans="2:5">
      <c r="B59" s="92" t="s">
        <v>424</v>
      </c>
      <c r="C59" s="64" t="s">
        <v>19</v>
      </c>
      <c r="D59" s="63" t="s">
        <v>561</v>
      </c>
      <c r="E59" s="120" t="s">
        <v>584</v>
      </c>
    </row>
    <row r="60" spans="2:5">
      <c r="B60" s="92" t="s">
        <v>425</v>
      </c>
      <c r="C60" s="64" t="s">
        <v>20</v>
      </c>
      <c r="D60" s="63" t="s">
        <v>561</v>
      </c>
      <c r="E60" s="120" t="s">
        <v>584</v>
      </c>
    </row>
    <row r="61" spans="2:5">
      <c r="B61" s="92" t="s">
        <v>426</v>
      </c>
      <c r="C61" s="64" t="s">
        <v>21</v>
      </c>
      <c r="D61" s="63" t="s">
        <v>561</v>
      </c>
      <c r="E61" s="120" t="s">
        <v>584</v>
      </c>
    </row>
    <row r="62" spans="2:5">
      <c r="B62" s="92" t="s">
        <v>427</v>
      </c>
      <c r="C62" s="64" t="s">
        <v>23</v>
      </c>
      <c r="D62" s="63" t="s">
        <v>561</v>
      </c>
      <c r="E62" s="120" t="s">
        <v>584</v>
      </c>
    </row>
    <row r="63" spans="2:5">
      <c r="B63" s="92" t="s">
        <v>428</v>
      </c>
      <c r="C63" s="64" t="s">
        <v>41</v>
      </c>
      <c r="D63" s="63" t="s">
        <v>563</v>
      </c>
      <c r="E63" s="63" t="s">
        <v>559</v>
      </c>
    </row>
    <row r="64" spans="2:5">
      <c r="B64" s="92" t="s">
        <v>429</v>
      </c>
      <c r="C64" s="64" t="s">
        <v>42</v>
      </c>
      <c r="D64" s="63" t="s">
        <v>563</v>
      </c>
      <c r="E64" s="63" t="s">
        <v>559</v>
      </c>
    </row>
    <row r="65" spans="2:5">
      <c r="B65" s="92" t="s">
        <v>430</v>
      </c>
      <c r="C65" s="64" t="s">
        <v>43</v>
      </c>
      <c r="D65" s="63" t="s">
        <v>563</v>
      </c>
      <c r="E65" s="63" t="s">
        <v>559</v>
      </c>
    </row>
    <row r="66" spans="2:5">
      <c r="B66" s="92" t="s">
        <v>431</v>
      </c>
      <c r="C66" s="64" t="s">
        <v>44</v>
      </c>
      <c r="D66" s="63" t="s">
        <v>561</v>
      </c>
      <c r="E66" s="120" t="s">
        <v>584</v>
      </c>
    </row>
    <row r="67" spans="2:5">
      <c r="B67" s="92" t="s">
        <v>432</v>
      </c>
      <c r="C67" s="64" t="s">
        <v>45</v>
      </c>
      <c r="D67" s="63" t="s">
        <v>561</v>
      </c>
      <c r="E67" s="120" t="s">
        <v>584</v>
      </c>
    </row>
    <row r="68" spans="2:5">
      <c r="B68" s="92" t="s">
        <v>433</v>
      </c>
      <c r="C68" s="64" t="s">
        <v>46</v>
      </c>
      <c r="D68" s="63" t="s">
        <v>563</v>
      </c>
      <c r="E68" s="63" t="s">
        <v>559</v>
      </c>
    </row>
    <row r="69" spans="2:5">
      <c r="B69" s="92" t="s">
        <v>434</v>
      </c>
      <c r="C69" s="64" t="s">
        <v>47</v>
      </c>
      <c r="D69" s="63" t="s">
        <v>563</v>
      </c>
      <c r="E69" s="120" t="s">
        <v>584</v>
      </c>
    </row>
    <row r="70" spans="2:5">
      <c r="B70" s="92" t="s">
        <v>435</v>
      </c>
      <c r="C70" s="64" t="s">
        <v>48</v>
      </c>
      <c r="D70" s="63" t="s">
        <v>561</v>
      </c>
      <c r="E70" s="120" t="s">
        <v>584</v>
      </c>
    </row>
    <row r="71" spans="2:5">
      <c r="B71" s="92" t="s">
        <v>436</v>
      </c>
      <c r="C71" s="64" t="s">
        <v>49</v>
      </c>
      <c r="D71" s="63" t="s">
        <v>563</v>
      </c>
      <c r="E71" s="63" t="s">
        <v>559</v>
      </c>
    </row>
    <row r="72" spans="2:5">
      <c r="B72" s="92" t="s">
        <v>437</v>
      </c>
      <c r="C72" s="64" t="s">
        <v>50</v>
      </c>
      <c r="D72" s="63" t="s">
        <v>563</v>
      </c>
      <c r="E72" s="63" t="s">
        <v>559</v>
      </c>
    </row>
    <row r="73" spans="2:5">
      <c r="B73" s="92" t="s">
        <v>438</v>
      </c>
      <c r="C73" s="64" t="s">
        <v>51</v>
      </c>
      <c r="D73" s="63" t="s">
        <v>563</v>
      </c>
      <c r="E73" s="63" t="s">
        <v>560</v>
      </c>
    </row>
    <row r="74" spans="2:5">
      <c r="B74" s="92" t="s">
        <v>439</v>
      </c>
      <c r="C74" s="64" t="s">
        <v>52</v>
      </c>
      <c r="D74" s="63" t="s">
        <v>563</v>
      </c>
      <c r="E74" s="63" t="s">
        <v>560</v>
      </c>
    </row>
    <row r="75" spans="2:5">
      <c r="B75" s="92" t="s">
        <v>440</v>
      </c>
      <c r="C75" s="64" t="s">
        <v>53</v>
      </c>
      <c r="D75" s="63" t="s">
        <v>563</v>
      </c>
      <c r="E75" s="63" t="s">
        <v>560</v>
      </c>
    </row>
    <row r="76" spans="2:5">
      <c r="B76" s="92" t="s">
        <v>441</v>
      </c>
      <c r="C76" s="64" t="s">
        <v>54</v>
      </c>
      <c r="D76" s="63" t="s">
        <v>563</v>
      </c>
      <c r="E76" s="63" t="s">
        <v>560</v>
      </c>
    </row>
    <row r="77" spans="2:5">
      <c r="B77" s="92" t="s">
        <v>442</v>
      </c>
      <c r="C77" s="64" t="s">
        <v>55</v>
      </c>
      <c r="D77" s="63" t="s">
        <v>563</v>
      </c>
      <c r="E77" s="63" t="s">
        <v>560</v>
      </c>
    </row>
    <row r="78" spans="2:5">
      <c r="B78" s="92" t="s">
        <v>443</v>
      </c>
      <c r="C78" s="64" t="s">
        <v>56</v>
      </c>
      <c r="D78" s="63" t="s">
        <v>563</v>
      </c>
      <c r="E78" s="63" t="s">
        <v>560</v>
      </c>
    </row>
    <row r="79" spans="2:5">
      <c r="B79" s="92" t="s">
        <v>444</v>
      </c>
      <c r="C79" s="64" t="s">
        <v>57</v>
      </c>
      <c r="D79" s="63" t="s">
        <v>563</v>
      </c>
      <c r="E79" s="63" t="s">
        <v>560</v>
      </c>
    </row>
    <row r="80" spans="2:5">
      <c r="B80" s="92" t="s">
        <v>445</v>
      </c>
      <c r="C80" s="64" t="s">
        <v>58</v>
      </c>
      <c r="D80" s="63" t="s">
        <v>563</v>
      </c>
      <c r="E80" s="63" t="s">
        <v>560</v>
      </c>
    </row>
    <row r="81" spans="2:5">
      <c r="B81" s="92" t="s">
        <v>446</v>
      </c>
      <c r="C81" s="64" t="s">
        <v>59</v>
      </c>
      <c r="D81" s="63" t="s">
        <v>563</v>
      </c>
      <c r="E81" s="63" t="s">
        <v>560</v>
      </c>
    </row>
    <row r="82" spans="2:5">
      <c r="B82" s="92" t="s">
        <v>447</v>
      </c>
      <c r="C82" s="64" t="s">
        <v>60</v>
      </c>
      <c r="D82" s="63" t="s">
        <v>563</v>
      </c>
      <c r="E82" s="63" t="s">
        <v>565</v>
      </c>
    </row>
    <row r="83" spans="2:5">
      <c r="B83" s="92" t="s">
        <v>448</v>
      </c>
      <c r="C83" s="64" t="s">
        <v>61</v>
      </c>
      <c r="D83" s="63" t="s">
        <v>563</v>
      </c>
      <c r="E83" s="63" t="s">
        <v>560</v>
      </c>
    </row>
    <row r="84" spans="2:5">
      <c r="B84" s="92" t="s">
        <v>449</v>
      </c>
      <c r="C84" s="64" t="s">
        <v>62</v>
      </c>
      <c r="D84" s="63" t="s">
        <v>563</v>
      </c>
      <c r="E84" s="63" t="s">
        <v>560</v>
      </c>
    </row>
    <row r="85" spans="2:5">
      <c r="B85" s="92" t="s">
        <v>450</v>
      </c>
      <c r="C85" s="64" t="s">
        <v>63</v>
      </c>
      <c r="D85" s="63" t="s">
        <v>563</v>
      </c>
      <c r="E85" s="63" t="s">
        <v>560</v>
      </c>
    </row>
    <row r="86" spans="2:5">
      <c r="B86" s="92" t="s">
        <v>451</v>
      </c>
      <c r="C86" s="64" t="s">
        <v>64</v>
      </c>
      <c r="D86" s="63" t="s">
        <v>563</v>
      </c>
      <c r="E86" s="63" t="s">
        <v>560</v>
      </c>
    </row>
    <row r="87" spans="2:5">
      <c r="B87" s="92" t="s">
        <v>452</v>
      </c>
      <c r="C87" s="64" t="s">
        <v>65</v>
      </c>
      <c r="D87" s="63" t="s">
        <v>563</v>
      </c>
      <c r="E87" s="63" t="s">
        <v>560</v>
      </c>
    </row>
    <row r="88" spans="2:5">
      <c r="B88" s="92" t="s">
        <v>453</v>
      </c>
      <c r="C88" s="64" t="s">
        <v>66</v>
      </c>
      <c r="D88" s="63" t="s">
        <v>563</v>
      </c>
      <c r="E88" s="63" t="s">
        <v>560</v>
      </c>
    </row>
    <row r="89" spans="2:5">
      <c r="B89" s="92" t="s">
        <v>454</v>
      </c>
      <c r="C89" s="64" t="s">
        <v>58</v>
      </c>
      <c r="D89" s="63" t="s">
        <v>563</v>
      </c>
      <c r="E89" s="63" t="s">
        <v>560</v>
      </c>
    </row>
    <row r="90" spans="2:5">
      <c r="B90" s="92" t="s">
        <v>455</v>
      </c>
      <c r="C90" s="64" t="s">
        <v>60</v>
      </c>
      <c r="D90" s="63" t="s">
        <v>563</v>
      </c>
      <c r="E90" s="63" t="s">
        <v>560</v>
      </c>
    </row>
    <row r="91" spans="2:5">
      <c r="B91" s="92" t="s">
        <v>456</v>
      </c>
      <c r="C91" s="64" t="s">
        <v>67</v>
      </c>
      <c r="D91" s="63" t="s">
        <v>563</v>
      </c>
      <c r="E91" s="63" t="s">
        <v>560</v>
      </c>
    </row>
    <row r="92" spans="2:5">
      <c r="B92" s="92" t="s">
        <v>457</v>
      </c>
      <c r="C92" s="64" t="s">
        <v>68</v>
      </c>
      <c r="D92" s="63" t="s">
        <v>563</v>
      </c>
      <c r="E92" s="63" t="s">
        <v>560</v>
      </c>
    </row>
    <row r="93" spans="2:5">
      <c r="B93" s="92" t="s">
        <v>458</v>
      </c>
      <c r="C93" s="64" t="s">
        <v>69</v>
      </c>
      <c r="D93" s="63" t="s">
        <v>563</v>
      </c>
      <c r="E93" s="63" t="s">
        <v>560</v>
      </c>
    </row>
    <row r="94" spans="2:5">
      <c r="B94" s="92" t="s">
        <v>459</v>
      </c>
      <c r="C94" s="64" t="s">
        <v>70</v>
      </c>
      <c r="D94" s="63" t="s">
        <v>563</v>
      </c>
      <c r="E94" s="63" t="s">
        <v>560</v>
      </c>
    </row>
    <row r="95" spans="2:5">
      <c r="B95" s="92" t="s">
        <v>460</v>
      </c>
      <c r="C95" s="64" t="s">
        <v>60</v>
      </c>
      <c r="D95" s="63" t="s">
        <v>561</v>
      </c>
      <c r="E95" s="120" t="s">
        <v>584</v>
      </c>
    </row>
    <row r="96" spans="2:5">
      <c r="B96" s="92" t="s">
        <v>461</v>
      </c>
      <c r="C96" s="64" t="s">
        <v>71</v>
      </c>
      <c r="D96" s="63" t="s">
        <v>563</v>
      </c>
      <c r="E96" s="63" t="s">
        <v>560</v>
      </c>
    </row>
    <row r="97" spans="2:5">
      <c r="B97" s="92" t="s">
        <v>462</v>
      </c>
      <c r="C97" s="64" t="s">
        <v>32</v>
      </c>
      <c r="D97" s="63" t="s">
        <v>561</v>
      </c>
      <c r="E97" s="120" t="s">
        <v>584</v>
      </c>
    </row>
    <row r="98" spans="2:5">
      <c r="B98" s="92" t="s">
        <v>463</v>
      </c>
      <c r="C98" s="64" t="s">
        <v>72</v>
      </c>
      <c r="D98" s="63" t="s">
        <v>561</v>
      </c>
      <c r="E98" s="120" t="s">
        <v>584</v>
      </c>
    </row>
    <row r="99" spans="2:5">
      <c r="B99" s="92" t="s">
        <v>464</v>
      </c>
      <c r="C99" s="64" t="s">
        <v>34</v>
      </c>
      <c r="D99" s="63" t="s">
        <v>561</v>
      </c>
      <c r="E99" s="120" t="s">
        <v>584</v>
      </c>
    </row>
    <row r="100" spans="2:5">
      <c r="B100" s="92" t="s">
        <v>465</v>
      </c>
      <c r="C100" s="64" t="s">
        <v>73</v>
      </c>
      <c r="D100" s="63" t="s">
        <v>563</v>
      </c>
      <c r="E100" s="63" t="s">
        <v>560</v>
      </c>
    </row>
    <row r="101" spans="2:5">
      <c r="B101" s="92" t="s">
        <v>466</v>
      </c>
      <c r="C101" s="64" t="s">
        <v>74</v>
      </c>
      <c r="D101" s="63" t="s">
        <v>563</v>
      </c>
      <c r="E101" s="63" t="s">
        <v>560</v>
      </c>
    </row>
    <row r="102" spans="2:5">
      <c r="B102" s="92" t="s">
        <v>467</v>
      </c>
      <c r="C102" s="64" t="s">
        <v>35</v>
      </c>
      <c r="D102" s="63" t="s">
        <v>561</v>
      </c>
      <c r="E102" s="120" t="s">
        <v>584</v>
      </c>
    </row>
    <row r="103" spans="2:5">
      <c r="B103" s="92" t="s">
        <v>468</v>
      </c>
      <c r="C103" s="64" t="s">
        <v>75</v>
      </c>
      <c r="D103" s="63" t="s">
        <v>563</v>
      </c>
      <c r="E103" s="63" t="s">
        <v>560</v>
      </c>
    </row>
    <row r="104" spans="2:5">
      <c r="B104" s="92" t="s">
        <v>469</v>
      </c>
      <c r="C104" s="64" t="s">
        <v>29</v>
      </c>
      <c r="D104" s="63" t="s">
        <v>563</v>
      </c>
      <c r="E104" s="63" t="s">
        <v>560</v>
      </c>
    </row>
    <row r="105" spans="2:5">
      <c r="B105" s="92" t="s">
        <v>470</v>
      </c>
      <c r="C105" s="64" t="s">
        <v>58</v>
      </c>
      <c r="D105" s="63" t="s">
        <v>563</v>
      </c>
      <c r="E105" s="63" t="s">
        <v>560</v>
      </c>
    </row>
    <row r="106" spans="2:5">
      <c r="B106" s="92" t="s">
        <v>471</v>
      </c>
      <c r="C106" s="64" t="s">
        <v>76</v>
      </c>
      <c r="D106" s="63" t="s">
        <v>561</v>
      </c>
      <c r="E106" s="120" t="s">
        <v>584</v>
      </c>
    </row>
    <row r="107" spans="2:5">
      <c r="B107" s="92" t="s">
        <v>472</v>
      </c>
      <c r="C107" s="64" t="s">
        <v>135</v>
      </c>
      <c r="D107" s="63" t="s">
        <v>561</v>
      </c>
      <c r="E107" s="120" t="s">
        <v>584</v>
      </c>
    </row>
    <row r="108" spans="2:5">
      <c r="B108" s="92" t="s">
        <v>473</v>
      </c>
      <c r="C108" s="64" t="s">
        <v>136</v>
      </c>
      <c r="D108" s="63" t="s">
        <v>561</v>
      </c>
      <c r="E108" s="120" t="s">
        <v>584</v>
      </c>
    </row>
    <row r="109" spans="2:5">
      <c r="B109" s="92" t="s">
        <v>474</v>
      </c>
      <c r="C109" s="64" t="s">
        <v>77</v>
      </c>
      <c r="D109" s="63" t="s">
        <v>561</v>
      </c>
      <c r="E109" s="120" t="s">
        <v>584</v>
      </c>
    </row>
    <row r="110" spans="2:5">
      <c r="B110" s="92" t="s">
        <v>475</v>
      </c>
      <c r="C110" s="64" t="s">
        <v>78</v>
      </c>
      <c r="D110" s="63" t="s">
        <v>561</v>
      </c>
      <c r="E110" s="120" t="s">
        <v>584</v>
      </c>
    </row>
    <row r="111" spans="2:5">
      <c r="B111" s="92" t="s">
        <v>476</v>
      </c>
      <c r="C111" s="64" t="s">
        <v>79</v>
      </c>
      <c r="D111" s="63" t="s">
        <v>561</v>
      </c>
      <c r="E111" s="120" t="s">
        <v>584</v>
      </c>
    </row>
    <row r="112" spans="2:5">
      <c r="B112" s="92" t="s">
        <v>477</v>
      </c>
      <c r="C112" s="64" t="s">
        <v>80</v>
      </c>
      <c r="D112" s="63" t="s">
        <v>561</v>
      </c>
      <c r="E112" s="120" t="s">
        <v>584</v>
      </c>
    </row>
    <row r="113" spans="2:5">
      <c r="B113" s="92" t="s">
        <v>478</v>
      </c>
      <c r="C113" s="64" t="s">
        <v>81</v>
      </c>
      <c r="D113" s="63" t="s">
        <v>561</v>
      </c>
      <c r="E113" s="120" t="s">
        <v>584</v>
      </c>
    </row>
    <row r="114" spans="2:5">
      <c r="B114" s="92" t="s">
        <v>479</v>
      </c>
      <c r="C114" s="64" t="s">
        <v>82</v>
      </c>
      <c r="D114" s="63" t="s">
        <v>561</v>
      </c>
      <c r="E114" s="120" t="s">
        <v>584</v>
      </c>
    </row>
    <row r="115" spans="2:5">
      <c r="B115" s="92" t="s">
        <v>480</v>
      </c>
      <c r="C115" s="64" t="s">
        <v>83</v>
      </c>
      <c r="D115" s="63" t="s">
        <v>561</v>
      </c>
      <c r="E115" s="120" t="s">
        <v>584</v>
      </c>
    </row>
    <row r="116" spans="2:5">
      <c r="B116" s="92" t="s">
        <v>481</v>
      </c>
      <c r="C116" s="64" t="s">
        <v>84</v>
      </c>
      <c r="D116" s="63" t="s">
        <v>561</v>
      </c>
      <c r="E116" s="120" t="s">
        <v>584</v>
      </c>
    </row>
    <row r="117" spans="2:5">
      <c r="B117" s="92" t="s">
        <v>482</v>
      </c>
      <c r="C117" s="64" t="s">
        <v>85</v>
      </c>
      <c r="D117" s="63" t="s">
        <v>561</v>
      </c>
      <c r="E117" s="120" t="s">
        <v>584</v>
      </c>
    </row>
    <row r="118" spans="2:5">
      <c r="B118" s="92" t="s">
        <v>483</v>
      </c>
      <c r="C118" s="64" t="s">
        <v>86</v>
      </c>
      <c r="D118" s="63" t="s">
        <v>563</v>
      </c>
      <c r="E118" s="63" t="s">
        <v>564</v>
      </c>
    </row>
    <row r="119" spans="2:5">
      <c r="B119" s="92" t="s">
        <v>484</v>
      </c>
      <c r="C119" s="64" t="s">
        <v>87</v>
      </c>
      <c r="D119" s="63" t="s">
        <v>561</v>
      </c>
      <c r="E119" s="120" t="s">
        <v>584</v>
      </c>
    </row>
    <row r="120" spans="2:5">
      <c r="B120" s="92" t="s">
        <v>485</v>
      </c>
      <c r="C120" s="64" t="s">
        <v>88</v>
      </c>
      <c r="D120" s="63" t="s">
        <v>561</v>
      </c>
      <c r="E120" s="120" t="s">
        <v>584</v>
      </c>
    </row>
    <row r="121" spans="2:5">
      <c r="B121" s="92" t="s">
        <v>486</v>
      </c>
      <c r="C121" s="64" t="s">
        <v>89</v>
      </c>
      <c r="D121" s="63" t="s">
        <v>561</v>
      </c>
      <c r="E121" s="120" t="s">
        <v>584</v>
      </c>
    </row>
    <row r="122" spans="2:5">
      <c r="B122" s="92" t="s">
        <v>487</v>
      </c>
      <c r="C122" s="64" t="s">
        <v>90</v>
      </c>
      <c r="D122" s="63" t="s">
        <v>561</v>
      </c>
      <c r="E122" s="120" t="s">
        <v>584</v>
      </c>
    </row>
    <row r="123" spans="2:5">
      <c r="B123" s="92" t="s">
        <v>488</v>
      </c>
      <c r="C123" s="64" t="s">
        <v>91</v>
      </c>
      <c r="D123" s="63" t="s">
        <v>561</v>
      </c>
      <c r="E123" s="120" t="s">
        <v>584</v>
      </c>
    </row>
    <row r="124" spans="2:5">
      <c r="B124" s="92" t="s">
        <v>552</v>
      </c>
      <c r="C124" s="64" t="s">
        <v>142</v>
      </c>
      <c r="D124" s="63" t="s">
        <v>561</v>
      </c>
      <c r="E124" s="120" t="s">
        <v>584</v>
      </c>
    </row>
    <row r="125" spans="2:5">
      <c r="B125" s="92" t="s">
        <v>489</v>
      </c>
      <c r="C125" s="64" t="s">
        <v>92</v>
      </c>
      <c r="D125" s="63" t="s">
        <v>561</v>
      </c>
      <c r="E125" s="120" t="s">
        <v>584</v>
      </c>
    </row>
    <row r="126" spans="2:5">
      <c r="B126" s="92" t="s">
        <v>490</v>
      </c>
      <c r="C126" s="64" t="s">
        <v>142</v>
      </c>
      <c r="D126" s="63" t="s">
        <v>561</v>
      </c>
      <c r="E126" s="120" t="s">
        <v>584</v>
      </c>
    </row>
    <row r="127" spans="2:5">
      <c r="B127" s="92" t="s">
        <v>491</v>
      </c>
      <c r="C127" s="64" t="s">
        <v>93</v>
      </c>
      <c r="D127" s="63" t="s">
        <v>563</v>
      </c>
      <c r="E127" s="63" t="s">
        <v>564</v>
      </c>
    </row>
    <row r="128" spans="2:5">
      <c r="B128" s="92" t="s">
        <v>492</v>
      </c>
      <c r="C128" s="64" t="s">
        <v>94</v>
      </c>
      <c r="D128" s="63" t="s">
        <v>563</v>
      </c>
      <c r="E128" s="63" t="s">
        <v>564</v>
      </c>
    </row>
    <row r="129" spans="2:5">
      <c r="B129" s="92" t="s">
        <v>493</v>
      </c>
      <c r="C129" s="64" t="s">
        <v>141</v>
      </c>
      <c r="D129" s="63" t="s">
        <v>563</v>
      </c>
      <c r="E129" s="63" t="s">
        <v>560</v>
      </c>
    </row>
    <row r="130" spans="2:5">
      <c r="B130" s="92" t="s">
        <v>494</v>
      </c>
      <c r="C130" s="64" t="s">
        <v>95</v>
      </c>
      <c r="D130" s="63" t="s">
        <v>561</v>
      </c>
      <c r="E130" s="120" t="s">
        <v>584</v>
      </c>
    </row>
    <row r="131" spans="2:5">
      <c r="B131" s="92" t="s">
        <v>495</v>
      </c>
      <c r="C131" s="64" t="s">
        <v>96</v>
      </c>
      <c r="D131" s="63" t="s">
        <v>561</v>
      </c>
      <c r="E131" s="120" t="s">
        <v>584</v>
      </c>
    </row>
    <row r="132" spans="2:5">
      <c r="B132" s="92" t="s">
        <v>496</v>
      </c>
      <c r="C132" s="64" t="s">
        <v>97</v>
      </c>
      <c r="D132" s="63" t="s">
        <v>561</v>
      </c>
      <c r="E132" s="120" t="s">
        <v>584</v>
      </c>
    </row>
    <row r="133" spans="2:5">
      <c r="B133" s="92" t="s">
        <v>497</v>
      </c>
      <c r="C133" s="64" t="s">
        <v>98</v>
      </c>
      <c r="D133" s="63" t="s">
        <v>561</v>
      </c>
      <c r="E133" s="120" t="s">
        <v>584</v>
      </c>
    </row>
    <row r="134" spans="2:5">
      <c r="B134" s="92" t="s">
        <v>498</v>
      </c>
      <c r="C134" s="64" t="s">
        <v>99</v>
      </c>
      <c r="D134" s="63" t="s">
        <v>561</v>
      </c>
      <c r="E134" s="120" t="s">
        <v>584</v>
      </c>
    </row>
    <row r="135" spans="2:5">
      <c r="B135" s="92" t="s">
        <v>499</v>
      </c>
      <c r="C135" s="64" t="s">
        <v>100</v>
      </c>
      <c r="D135" s="63" t="s">
        <v>561</v>
      </c>
      <c r="E135" s="120" t="s">
        <v>584</v>
      </c>
    </row>
    <row r="136" spans="2:5">
      <c r="B136" s="92" t="s">
        <v>500</v>
      </c>
      <c r="C136" s="64" t="s">
        <v>101</v>
      </c>
      <c r="D136" s="63" t="s">
        <v>561</v>
      </c>
      <c r="E136" s="120" t="s">
        <v>584</v>
      </c>
    </row>
    <row r="137" spans="2:5">
      <c r="B137" s="92" t="s">
        <v>501</v>
      </c>
      <c r="C137" s="64" t="s">
        <v>102</v>
      </c>
      <c r="D137" s="63" t="s">
        <v>561</v>
      </c>
      <c r="E137" s="120" t="s">
        <v>584</v>
      </c>
    </row>
    <row r="138" spans="2:5">
      <c r="B138" s="92" t="s">
        <v>502</v>
      </c>
      <c r="C138" s="64" t="s">
        <v>103</v>
      </c>
      <c r="D138" s="63" t="s">
        <v>561</v>
      </c>
      <c r="E138" s="120" t="s">
        <v>584</v>
      </c>
    </row>
    <row r="139" spans="2:5">
      <c r="B139" s="92" t="s">
        <v>503</v>
      </c>
      <c r="C139" s="64" t="s">
        <v>104</v>
      </c>
      <c r="D139" s="63" t="s">
        <v>563</v>
      </c>
      <c r="E139" s="63" t="s">
        <v>560</v>
      </c>
    </row>
    <row r="140" spans="2:5">
      <c r="B140" s="92" t="s">
        <v>504</v>
      </c>
      <c r="C140" s="64" t="s">
        <v>105</v>
      </c>
      <c r="D140" s="63" t="s">
        <v>561</v>
      </c>
      <c r="E140" s="120" t="s">
        <v>584</v>
      </c>
    </row>
    <row r="141" spans="2:5">
      <c r="B141" s="92" t="s">
        <v>505</v>
      </c>
      <c r="C141" s="64" t="s">
        <v>106</v>
      </c>
      <c r="D141" s="63" t="s">
        <v>561</v>
      </c>
      <c r="E141" s="120" t="s">
        <v>584</v>
      </c>
    </row>
    <row r="142" spans="2:5">
      <c r="B142" s="92" t="s">
        <v>506</v>
      </c>
      <c r="C142" s="64" t="s">
        <v>107</v>
      </c>
      <c r="D142" s="63" t="s">
        <v>561</v>
      </c>
      <c r="E142" s="120" t="s">
        <v>584</v>
      </c>
    </row>
    <row r="143" spans="2:5">
      <c r="B143" s="92" t="s">
        <v>507</v>
      </c>
      <c r="C143" s="64" t="s">
        <v>137</v>
      </c>
      <c r="D143" s="63" t="s">
        <v>561</v>
      </c>
      <c r="E143" s="120" t="s">
        <v>584</v>
      </c>
    </row>
    <row r="144" spans="2:5">
      <c r="B144" s="92" t="s">
        <v>508</v>
      </c>
      <c r="C144" s="64" t="s">
        <v>138</v>
      </c>
      <c r="D144" s="63" t="s">
        <v>561</v>
      </c>
      <c r="E144" s="120" t="s">
        <v>584</v>
      </c>
    </row>
    <row r="145" spans="2:5">
      <c r="B145" s="92" t="s">
        <v>509</v>
      </c>
      <c r="C145" s="64" t="s">
        <v>108</v>
      </c>
      <c r="D145" s="63" t="s">
        <v>561</v>
      </c>
      <c r="E145" s="120" t="s">
        <v>584</v>
      </c>
    </row>
    <row r="146" spans="2:5">
      <c r="B146" s="92" t="s">
        <v>510</v>
      </c>
      <c r="C146" s="64" t="s">
        <v>76</v>
      </c>
      <c r="D146" s="63" t="s">
        <v>561</v>
      </c>
      <c r="E146" s="120" t="s">
        <v>584</v>
      </c>
    </row>
    <row r="147" spans="2:5">
      <c r="B147" s="92" t="s">
        <v>511</v>
      </c>
      <c r="C147" s="64" t="s">
        <v>135</v>
      </c>
      <c r="D147" s="63" t="s">
        <v>561</v>
      </c>
      <c r="E147" s="120" t="s">
        <v>584</v>
      </c>
    </row>
    <row r="148" spans="2:5">
      <c r="B148" s="92" t="s">
        <v>512</v>
      </c>
      <c r="C148" s="64" t="s">
        <v>136</v>
      </c>
      <c r="D148" s="63" t="s">
        <v>561</v>
      </c>
      <c r="E148" s="120" t="s">
        <v>584</v>
      </c>
    </row>
    <row r="149" spans="2:5">
      <c r="B149" s="92" t="s">
        <v>513</v>
      </c>
      <c r="C149" s="64" t="s">
        <v>109</v>
      </c>
      <c r="D149" s="63" t="s">
        <v>561</v>
      </c>
      <c r="E149" s="120" t="s">
        <v>584</v>
      </c>
    </row>
    <row r="150" spans="2:5">
      <c r="B150" s="92" t="s">
        <v>514</v>
      </c>
      <c r="C150" s="64" t="s">
        <v>80</v>
      </c>
      <c r="D150" s="63" t="s">
        <v>561</v>
      </c>
      <c r="E150" s="120" t="s">
        <v>584</v>
      </c>
    </row>
    <row r="151" spans="2:5">
      <c r="B151" s="92" t="s">
        <v>515</v>
      </c>
      <c r="C151" s="64" t="s">
        <v>81</v>
      </c>
      <c r="D151" s="63" t="s">
        <v>561</v>
      </c>
      <c r="E151" s="120" t="s">
        <v>584</v>
      </c>
    </row>
    <row r="152" spans="2:5">
      <c r="B152" s="92" t="s">
        <v>516</v>
      </c>
      <c r="C152" s="64" t="s">
        <v>82</v>
      </c>
      <c r="D152" s="63" t="s">
        <v>561</v>
      </c>
      <c r="E152" s="120" t="s">
        <v>584</v>
      </c>
    </row>
    <row r="153" spans="2:5">
      <c r="B153" s="92" t="s">
        <v>517</v>
      </c>
      <c r="C153" s="64" t="s">
        <v>83</v>
      </c>
      <c r="D153" s="63" t="s">
        <v>561</v>
      </c>
      <c r="E153" s="120" t="s">
        <v>584</v>
      </c>
    </row>
    <row r="154" spans="2:5">
      <c r="B154" s="92" t="s">
        <v>518</v>
      </c>
      <c r="C154" s="64" t="s">
        <v>84</v>
      </c>
      <c r="D154" s="63" t="s">
        <v>561</v>
      </c>
      <c r="E154" s="120" t="s">
        <v>584</v>
      </c>
    </row>
    <row r="155" spans="2:5">
      <c r="B155" s="92" t="s">
        <v>519</v>
      </c>
      <c r="C155" s="64" t="s">
        <v>85</v>
      </c>
      <c r="D155" s="63" t="s">
        <v>561</v>
      </c>
      <c r="E155" s="120" t="s">
        <v>584</v>
      </c>
    </row>
    <row r="156" spans="2:5">
      <c r="B156" s="92" t="s">
        <v>520</v>
      </c>
      <c r="C156" s="64" t="s">
        <v>86</v>
      </c>
      <c r="D156" s="63" t="s">
        <v>563</v>
      </c>
      <c r="E156" s="63" t="s">
        <v>564</v>
      </c>
    </row>
    <row r="157" spans="2:5">
      <c r="B157" s="92" t="s">
        <v>521</v>
      </c>
      <c r="C157" s="64" t="s">
        <v>87</v>
      </c>
      <c r="D157" s="63" t="s">
        <v>561</v>
      </c>
      <c r="E157" s="120" t="s">
        <v>584</v>
      </c>
    </row>
    <row r="158" spans="2:5">
      <c r="B158" s="92" t="s">
        <v>522</v>
      </c>
      <c r="C158" s="64" t="s">
        <v>88</v>
      </c>
      <c r="D158" s="63" t="s">
        <v>561</v>
      </c>
      <c r="E158" s="120" t="s">
        <v>584</v>
      </c>
    </row>
    <row r="159" spans="2:5">
      <c r="B159" s="92" t="s">
        <v>523</v>
      </c>
      <c r="C159" s="64" t="s">
        <v>89</v>
      </c>
      <c r="D159" s="63" t="s">
        <v>561</v>
      </c>
      <c r="E159" s="120" t="s">
        <v>584</v>
      </c>
    </row>
    <row r="160" spans="2:5">
      <c r="B160" s="92" t="s">
        <v>524</v>
      </c>
      <c r="C160" s="64" t="s">
        <v>90</v>
      </c>
      <c r="D160" s="63" t="s">
        <v>561</v>
      </c>
      <c r="E160" s="120" t="s">
        <v>584</v>
      </c>
    </row>
    <row r="161" spans="2:5">
      <c r="B161" s="92" t="s">
        <v>525</v>
      </c>
      <c r="C161" s="64" t="s">
        <v>92</v>
      </c>
      <c r="D161" s="63" t="s">
        <v>561</v>
      </c>
      <c r="E161" s="120" t="s">
        <v>584</v>
      </c>
    </row>
    <row r="162" spans="2:5">
      <c r="B162" s="92" t="s">
        <v>526</v>
      </c>
      <c r="C162" s="64" t="s">
        <v>110</v>
      </c>
      <c r="D162" s="63" t="s">
        <v>561</v>
      </c>
      <c r="E162" s="120" t="s">
        <v>584</v>
      </c>
    </row>
    <row r="163" spans="2:5">
      <c r="B163" s="92" t="s">
        <v>527</v>
      </c>
      <c r="C163" s="64" t="s">
        <v>142</v>
      </c>
      <c r="D163" s="63" t="s">
        <v>561</v>
      </c>
      <c r="E163" s="120" t="s">
        <v>584</v>
      </c>
    </row>
    <row r="164" spans="2:5">
      <c r="B164" s="92" t="s">
        <v>528</v>
      </c>
      <c r="C164" s="64" t="s">
        <v>93</v>
      </c>
      <c r="D164" s="63" t="s">
        <v>563</v>
      </c>
      <c r="E164" s="63" t="s">
        <v>564</v>
      </c>
    </row>
    <row r="165" spans="2:5">
      <c r="B165" s="92" t="s">
        <v>529</v>
      </c>
      <c r="C165" s="64" t="s">
        <v>94</v>
      </c>
      <c r="D165" s="63" t="s">
        <v>561</v>
      </c>
      <c r="E165" s="120" t="s">
        <v>584</v>
      </c>
    </row>
    <row r="166" spans="2:5">
      <c r="B166" s="92" t="s">
        <v>530</v>
      </c>
      <c r="C166" s="64" t="s">
        <v>101</v>
      </c>
      <c r="D166" s="63" t="s">
        <v>561</v>
      </c>
      <c r="E166" s="120" t="s">
        <v>584</v>
      </c>
    </row>
    <row r="167" spans="2:5">
      <c r="B167" s="92" t="s">
        <v>531</v>
      </c>
      <c r="C167" s="64" t="s">
        <v>103</v>
      </c>
      <c r="D167" s="63" t="s">
        <v>561</v>
      </c>
      <c r="E167" s="120" t="s">
        <v>584</v>
      </c>
    </row>
    <row r="168" spans="2:5">
      <c r="B168" s="92" t="s">
        <v>532</v>
      </c>
      <c r="C168" s="64" t="s">
        <v>111</v>
      </c>
      <c r="D168" s="63" t="s">
        <v>563</v>
      </c>
      <c r="E168" s="63" t="s">
        <v>560</v>
      </c>
    </row>
    <row r="169" spans="2:5">
      <c r="B169" s="92" t="s">
        <v>533</v>
      </c>
      <c r="C169" s="64" t="s">
        <v>105</v>
      </c>
      <c r="D169" s="63" t="s">
        <v>561</v>
      </c>
      <c r="E169" s="120" t="s">
        <v>584</v>
      </c>
    </row>
    <row r="170" spans="2:5">
      <c r="B170" s="92" t="s">
        <v>534</v>
      </c>
      <c r="C170" s="64" t="s">
        <v>139</v>
      </c>
      <c r="D170" s="63" t="s">
        <v>561</v>
      </c>
      <c r="E170" s="120" t="s">
        <v>584</v>
      </c>
    </row>
    <row r="171" spans="2:5">
      <c r="B171" s="92" t="s">
        <v>535</v>
      </c>
      <c r="C171" s="64" t="s">
        <v>112</v>
      </c>
      <c r="D171" s="63" t="s">
        <v>561</v>
      </c>
      <c r="E171" s="120" t="s">
        <v>584</v>
      </c>
    </row>
    <row r="172" spans="2:5">
      <c r="B172" s="92" t="s">
        <v>536</v>
      </c>
      <c r="C172" s="64" t="s">
        <v>113</v>
      </c>
      <c r="D172" s="63" t="s">
        <v>561</v>
      </c>
      <c r="E172" s="120" t="s">
        <v>584</v>
      </c>
    </row>
    <row r="173" spans="2:5">
      <c r="B173" s="92" t="s">
        <v>537</v>
      </c>
      <c r="C173" s="64" t="s">
        <v>114</v>
      </c>
      <c r="D173" s="63" t="s">
        <v>563</v>
      </c>
      <c r="E173" s="63" t="s">
        <v>583</v>
      </c>
    </row>
    <row r="174" spans="2:5">
      <c r="B174" s="92" t="s">
        <v>538</v>
      </c>
      <c r="C174" s="64" t="s">
        <v>115</v>
      </c>
      <c r="D174" s="63" t="s">
        <v>563</v>
      </c>
      <c r="E174" s="120" t="s">
        <v>584</v>
      </c>
    </row>
    <row r="175" spans="2:5">
      <c r="B175" s="92" t="s">
        <v>668</v>
      </c>
      <c r="C175" s="64" t="s">
        <v>744</v>
      </c>
      <c r="D175" s="63" t="s">
        <v>563</v>
      </c>
      <c r="E175" s="63" t="s">
        <v>583</v>
      </c>
    </row>
    <row r="176" spans="2:5">
      <c r="B176" s="92" t="s">
        <v>745</v>
      </c>
      <c r="C176" s="64" t="s">
        <v>746</v>
      </c>
      <c r="D176" s="63" t="s">
        <v>563</v>
      </c>
      <c r="E176" s="63" t="s">
        <v>583</v>
      </c>
    </row>
    <row r="177" spans="2:5">
      <c r="B177" s="92" t="s">
        <v>539</v>
      </c>
      <c r="C177" s="64" t="s">
        <v>116</v>
      </c>
      <c r="D177" s="63" t="s">
        <v>563</v>
      </c>
      <c r="E177" s="63" t="s">
        <v>583</v>
      </c>
    </row>
    <row r="178" spans="2:5">
      <c r="B178" s="92" t="s">
        <v>540</v>
      </c>
      <c r="C178" s="64" t="s">
        <v>117</v>
      </c>
      <c r="D178" s="63" t="s">
        <v>563</v>
      </c>
      <c r="E178" s="63" t="s">
        <v>583</v>
      </c>
    </row>
    <row r="179" spans="2:5">
      <c r="B179" s="92" t="s">
        <v>541</v>
      </c>
      <c r="C179" s="64" t="s">
        <v>118</v>
      </c>
      <c r="D179" s="63" t="s">
        <v>563</v>
      </c>
      <c r="E179" s="63" t="s">
        <v>583</v>
      </c>
    </row>
    <row r="180" spans="2:5">
      <c r="B180" s="92" t="s">
        <v>760</v>
      </c>
      <c r="C180" s="64" t="s">
        <v>653</v>
      </c>
      <c r="D180" s="63" t="s">
        <v>563</v>
      </c>
      <c r="E180" s="63" t="s">
        <v>583</v>
      </c>
    </row>
    <row r="181" spans="2:5">
      <c r="B181" s="92" t="s">
        <v>542</v>
      </c>
      <c r="C181" s="64" t="s">
        <v>119</v>
      </c>
      <c r="D181" s="63" t="s">
        <v>563</v>
      </c>
      <c r="E181" s="63" t="s">
        <v>583</v>
      </c>
    </row>
    <row r="182" spans="2:5">
      <c r="B182" s="92" t="s">
        <v>543</v>
      </c>
      <c r="C182" s="64" t="s">
        <v>120</v>
      </c>
      <c r="D182" s="63" t="s">
        <v>563</v>
      </c>
      <c r="E182" s="63" t="s">
        <v>583</v>
      </c>
    </row>
    <row r="183" spans="2:5">
      <c r="B183" s="92" t="s">
        <v>544</v>
      </c>
      <c r="C183" s="64" t="s">
        <v>121</v>
      </c>
      <c r="D183" s="63" t="s">
        <v>563</v>
      </c>
      <c r="E183" s="63" t="s">
        <v>583</v>
      </c>
    </row>
    <row r="184" spans="2:5">
      <c r="B184" s="92" t="s">
        <v>545</v>
      </c>
      <c r="C184" s="64" t="s">
        <v>122</v>
      </c>
      <c r="D184" s="63" t="s">
        <v>563</v>
      </c>
      <c r="E184" s="63" t="s">
        <v>583</v>
      </c>
    </row>
    <row r="185" spans="2:5">
      <c r="B185" s="92" t="s">
        <v>546</v>
      </c>
      <c r="C185" s="64" t="s">
        <v>123</v>
      </c>
      <c r="D185" s="63" t="s">
        <v>563</v>
      </c>
      <c r="E185" s="63" t="s">
        <v>583</v>
      </c>
    </row>
    <row r="186" spans="2:5">
      <c r="B186" s="92" t="s">
        <v>547</v>
      </c>
      <c r="C186" s="64" t="s">
        <v>124</v>
      </c>
      <c r="D186" s="63" t="s">
        <v>563</v>
      </c>
      <c r="E186" s="63" t="s">
        <v>583</v>
      </c>
    </row>
    <row r="187" spans="2:5">
      <c r="B187" s="92" t="s">
        <v>548</v>
      </c>
      <c r="C187" s="64" t="s">
        <v>125</v>
      </c>
      <c r="D187" s="63" t="s">
        <v>563</v>
      </c>
      <c r="E187" s="63" t="s">
        <v>583</v>
      </c>
    </row>
    <row r="188" spans="2:5">
      <c r="B188" s="92" t="s">
        <v>549</v>
      </c>
      <c r="C188" s="64" t="s">
        <v>126</v>
      </c>
      <c r="D188" s="63" t="s">
        <v>563</v>
      </c>
      <c r="E188" s="63" t="s">
        <v>583</v>
      </c>
    </row>
    <row r="189" spans="2:5">
      <c r="B189" s="92" t="s">
        <v>550</v>
      </c>
      <c r="C189" s="64" t="s">
        <v>127</v>
      </c>
      <c r="D189" s="63" t="s">
        <v>563</v>
      </c>
      <c r="E189" s="120" t="s">
        <v>584</v>
      </c>
    </row>
    <row r="190" spans="2:5">
      <c r="B190" s="92" t="s">
        <v>551</v>
      </c>
      <c r="C190" s="64" t="s">
        <v>128</v>
      </c>
      <c r="D190" s="63" t="s">
        <v>563</v>
      </c>
      <c r="E190" s="120" t="s">
        <v>584</v>
      </c>
    </row>
    <row r="194" spans="2:2">
      <c r="B194" s="121"/>
    </row>
    <row r="195" spans="2:2">
      <c r="B195" s="122"/>
    </row>
  </sheetData>
  <sheetProtection password="DFF0" sheet="1" formatCells="0" formatColumns="0" formatRows="0" insertColumns="0" insertRows="0" insertHyperlinks="0" deleteColumns="0" deleteRows="0" sort="0" autoFilter="0" pivotTables="0"/>
  <autoFilter ref="B3:E190"/>
  <hyperlinks>
    <hyperlink ref="E2" r:id="rId1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3"/>
  <sheetViews>
    <sheetView topLeftCell="A40" workbookViewId="0">
      <selection activeCell="C24" sqref="C24"/>
    </sheetView>
  </sheetViews>
  <sheetFormatPr defaultColWidth="9.1328125" defaultRowHeight="14.25"/>
  <cols>
    <col min="1" max="1" width="6.46484375" style="75" customWidth="1"/>
    <col min="2" max="2" width="14.6640625" style="18" customWidth="1"/>
    <col min="3" max="3" width="54.46484375" style="18" customWidth="1"/>
    <col min="4" max="4" width="15.86328125" style="20" customWidth="1"/>
    <col min="5" max="5" width="16.33203125" style="20" customWidth="1"/>
    <col min="6" max="6" width="16.33203125" style="80" customWidth="1"/>
    <col min="7" max="7" width="10.6640625" style="41" customWidth="1"/>
    <col min="8" max="16384" width="9.1328125" style="18"/>
  </cols>
  <sheetData>
    <row r="1" spans="1:7" s="49" customFormat="1">
      <c r="A1" s="78"/>
      <c r="D1" s="50"/>
      <c r="E1" s="46" t="s">
        <v>663</v>
      </c>
      <c r="F1" s="78"/>
      <c r="G1" s="51"/>
    </row>
    <row r="2" spans="1:7" s="49" customFormat="1">
      <c r="A2" s="78"/>
      <c r="D2" s="50"/>
      <c r="E2" s="47" t="s">
        <v>662</v>
      </c>
      <c r="F2" s="78"/>
      <c r="G2" s="51"/>
    </row>
    <row r="3" spans="1:7">
      <c r="A3" s="75" t="s">
        <v>368</v>
      </c>
      <c r="B3" s="43" t="s">
        <v>129</v>
      </c>
      <c r="C3" s="44" t="s">
        <v>130</v>
      </c>
      <c r="D3" s="45" t="s">
        <v>366</v>
      </c>
      <c r="E3" s="45" t="s">
        <v>367</v>
      </c>
      <c r="F3" s="79" t="s">
        <v>665</v>
      </c>
      <c r="G3" s="40" t="s">
        <v>369</v>
      </c>
    </row>
    <row r="4" spans="1:7">
      <c r="A4" s="75" t="str">
        <f>LEFT(B4,3)</f>
        <v>100</v>
      </c>
      <c r="B4" s="19" t="s">
        <v>186</v>
      </c>
      <c r="C4" s="18" t="s">
        <v>187</v>
      </c>
      <c r="D4" s="20">
        <v>2497.0500000000002</v>
      </c>
      <c r="E4" s="20">
        <v>0</v>
      </c>
      <c r="F4" s="80">
        <f>+D4-E4</f>
        <v>2497.0500000000002</v>
      </c>
      <c r="G4" s="41" t="str">
        <f>VLOOKUP(A4,'Hesap Planı'!B:D,3,0)</f>
        <v>P</v>
      </c>
    </row>
    <row r="5" spans="1:7">
      <c r="A5" s="75" t="str">
        <f t="shared" ref="A5:A12" si="0">LEFT(B5,3)</f>
        <v>100</v>
      </c>
      <c r="B5" s="19" t="s">
        <v>188</v>
      </c>
      <c r="C5" s="18" t="s">
        <v>189</v>
      </c>
      <c r="D5" s="20">
        <v>14552.41</v>
      </c>
      <c r="E5" s="20">
        <v>0</v>
      </c>
      <c r="F5" s="80">
        <f t="shared" ref="F5:F68" si="1">+D5-E5</f>
        <v>14552.41</v>
      </c>
      <c r="G5" s="41" t="str">
        <f>VLOOKUP(A5,'Hesap Planı'!B:D,3,0)</f>
        <v>P</v>
      </c>
    </row>
    <row r="6" spans="1:7">
      <c r="A6" s="75" t="str">
        <f t="shared" si="0"/>
        <v>100</v>
      </c>
      <c r="B6" s="19" t="s">
        <v>190</v>
      </c>
      <c r="C6" s="18" t="s">
        <v>191</v>
      </c>
      <c r="D6" s="20">
        <v>14164.96</v>
      </c>
      <c r="E6" s="20">
        <v>0</v>
      </c>
      <c r="F6" s="80">
        <f t="shared" si="1"/>
        <v>14164.96</v>
      </c>
      <c r="G6" s="41" t="str">
        <f>VLOOKUP(A6,'Hesap Planı'!B:D,3,0)</f>
        <v>P</v>
      </c>
    </row>
    <row r="7" spans="1:7">
      <c r="A7" s="75" t="str">
        <f t="shared" si="0"/>
        <v>102</v>
      </c>
      <c r="B7" s="19" t="s">
        <v>192</v>
      </c>
      <c r="C7" s="18" t="s">
        <v>578</v>
      </c>
      <c r="D7" s="20">
        <v>677.14</v>
      </c>
      <c r="E7" s="20">
        <v>0</v>
      </c>
      <c r="F7" s="80">
        <f t="shared" si="1"/>
        <v>677.14</v>
      </c>
      <c r="G7" s="41" t="str">
        <f>VLOOKUP(A7,'Hesap Planı'!B:D,3,0)</f>
        <v>P</v>
      </c>
    </row>
    <row r="8" spans="1:7">
      <c r="A8" s="75" t="str">
        <f t="shared" si="0"/>
        <v>102</v>
      </c>
      <c r="B8" s="19" t="s">
        <v>193</v>
      </c>
      <c r="C8" s="18" t="s">
        <v>579</v>
      </c>
      <c r="D8" s="20">
        <v>4130.33</v>
      </c>
      <c r="E8" s="20">
        <v>0</v>
      </c>
      <c r="F8" s="80">
        <f t="shared" si="1"/>
        <v>4130.33</v>
      </c>
      <c r="G8" s="41" t="str">
        <f>VLOOKUP(A8,'Hesap Planı'!B:D,3,0)</f>
        <v>P</v>
      </c>
    </row>
    <row r="9" spans="1:7">
      <c r="A9" s="75" t="str">
        <f t="shared" si="0"/>
        <v>102</v>
      </c>
      <c r="B9" s="19" t="s">
        <v>194</v>
      </c>
      <c r="C9" s="18" t="s">
        <v>580</v>
      </c>
      <c r="D9" s="20">
        <v>105670.1</v>
      </c>
      <c r="E9" s="20">
        <v>0</v>
      </c>
      <c r="F9" s="80">
        <f t="shared" si="1"/>
        <v>105670.1</v>
      </c>
      <c r="G9" s="41" t="str">
        <f>VLOOKUP(A9,'Hesap Planı'!B:D,3,0)</f>
        <v>P</v>
      </c>
    </row>
    <row r="10" spans="1:7">
      <c r="A10" s="75" t="str">
        <f t="shared" si="0"/>
        <v>120</v>
      </c>
      <c r="B10" s="19" t="s">
        <v>195</v>
      </c>
      <c r="C10" s="18" t="s">
        <v>581</v>
      </c>
      <c r="D10" s="20">
        <v>182206.74</v>
      </c>
      <c r="E10" s="20">
        <v>0</v>
      </c>
      <c r="F10" s="80">
        <f t="shared" si="1"/>
        <v>182206.74</v>
      </c>
      <c r="G10" s="41" t="str">
        <f>VLOOKUP(A10,'Hesap Planı'!B:D,3,0)</f>
        <v>P</v>
      </c>
    </row>
    <row r="11" spans="1:7">
      <c r="A11" s="75" t="str">
        <f t="shared" si="0"/>
        <v>120</v>
      </c>
      <c r="B11" s="19" t="s">
        <v>196</v>
      </c>
      <c r="C11" s="18" t="s">
        <v>582</v>
      </c>
      <c r="D11" s="20">
        <v>100687.5</v>
      </c>
      <c r="E11" s="20">
        <v>0</v>
      </c>
      <c r="F11" s="80">
        <f t="shared" si="1"/>
        <v>100687.5</v>
      </c>
      <c r="G11" s="41" t="str">
        <f>VLOOKUP(A11,'Hesap Planı'!B:D,3,0)</f>
        <v>P</v>
      </c>
    </row>
    <row r="12" spans="1:7">
      <c r="A12" s="75" t="str">
        <f t="shared" si="0"/>
        <v>120</v>
      </c>
      <c r="B12" s="19" t="s">
        <v>197</v>
      </c>
      <c r="C12" s="18" t="s">
        <v>581</v>
      </c>
      <c r="D12" s="20">
        <v>58218.14</v>
      </c>
      <c r="E12" s="20">
        <v>0</v>
      </c>
      <c r="F12" s="80">
        <f t="shared" si="1"/>
        <v>58218.14</v>
      </c>
      <c r="G12" s="41" t="str">
        <f>VLOOKUP(A12,'Hesap Planı'!B:D,3,0)</f>
        <v>P</v>
      </c>
    </row>
    <row r="13" spans="1:7">
      <c r="A13" s="75" t="str">
        <f t="shared" ref="A13:A14" si="2">LEFT(B13,3)</f>
        <v>121</v>
      </c>
      <c r="B13" s="19" t="s">
        <v>199</v>
      </c>
      <c r="C13" s="18" t="s">
        <v>198</v>
      </c>
      <c r="D13" s="20">
        <v>413615</v>
      </c>
      <c r="E13" s="20">
        <v>0</v>
      </c>
      <c r="F13" s="80">
        <f t="shared" si="1"/>
        <v>413615</v>
      </c>
      <c r="G13" s="41" t="str">
        <f>VLOOKUP(A13,'Hesap Planı'!B:D,3,0)</f>
        <v>P</v>
      </c>
    </row>
    <row r="14" spans="1:7">
      <c r="A14" s="75" t="str">
        <f t="shared" si="2"/>
        <v>121</v>
      </c>
      <c r="B14" s="19" t="s">
        <v>201</v>
      </c>
      <c r="C14" s="18" t="s">
        <v>200</v>
      </c>
      <c r="D14" s="20">
        <v>544537</v>
      </c>
      <c r="E14" s="20">
        <v>0</v>
      </c>
      <c r="F14" s="80">
        <f t="shared" si="1"/>
        <v>544537</v>
      </c>
      <c r="G14" s="41" t="str">
        <f>VLOOKUP(A14,'Hesap Planı'!B:D,3,0)</f>
        <v>P</v>
      </c>
    </row>
    <row r="15" spans="1:7">
      <c r="A15" s="75" t="str">
        <f t="shared" ref="A15:A35" si="3">LEFT(B15,3)</f>
        <v>121</v>
      </c>
      <c r="B15" s="19" t="s">
        <v>202</v>
      </c>
      <c r="C15" s="18" t="s">
        <v>203</v>
      </c>
      <c r="D15" s="20">
        <v>821025</v>
      </c>
      <c r="E15" s="20">
        <v>0</v>
      </c>
      <c r="F15" s="80">
        <f t="shared" si="1"/>
        <v>821025</v>
      </c>
      <c r="G15" s="41" t="str">
        <f>VLOOKUP(A15,'Hesap Planı'!B:D,3,0)</f>
        <v>P</v>
      </c>
    </row>
    <row r="16" spans="1:7">
      <c r="A16" s="75" t="str">
        <f t="shared" si="3"/>
        <v>127</v>
      </c>
      <c r="B16" s="19" t="s">
        <v>205</v>
      </c>
      <c r="C16" s="18" t="s">
        <v>206</v>
      </c>
      <c r="D16" s="20">
        <v>2954</v>
      </c>
      <c r="E16" s="20">
        <v>0</v>
      </c>
      <c r="F16" s="80">
        <f t="shared" si="1"/>
        <v>2954</v>
      </c>
      <c r="G16" s="41" t="str">
        <f>VLOOKUP(A16,'Hesap Planı'!B:D,3,0)</f>
        <v>P</v>
      </c>
    </row>
    <row r="17" spans="1:7">
      <c r="A17" s="75" t="str">
        <f t="shared" si="3"/>
        <v>127</v>
      </c>
      <c r="B17" s="19" t="s">
        <v>207</v>
      </c>
      <c r="C17" s="18" t="s">
        <v>208</v>
      </c>
      <c r="D17" s="20">
        <v>47072.65</v>
      </c>
      <c r="E17" s="20">
        <v>0</v>
      </c>
      <c r="F17" s="80">
        <f t="shared" si="1"/>
        <v>47072.65</v>
      </c>
      <c r="G17" s="41" t="str">
        <f>VLOOKUP(A17,'Hesap Planı'!B:D,3,0)</f>
        <v>P</v>
      </c>
    </row>
    <row r="18" spans="1:7">
      <c r="A18" s="75" t="str">
        <f t="shared" si="3"/>
        <v>128</v>
      </c>
      <c r="B18" s="19" t="s">
        <v>209</v>
      </c>
      <c r="C18" s="18" t="s">
        <v>582</v>
      </c>
      <c r="D18" s="20">
        <v>7000</v>
      </c>
      <c r="E18" s="20">
        <v>0</v>
      </c>
      <c r="F18" s="80">
        <f t="shared" si="1"/>
        <v>7000</v>
      </c>
      <c r="G18" s="41" t="str">
        <f>VLOOKUP(A18,'Hesap Planı'!B:D,3,0)</f>
        <v>P</v>
      </c>
    </row>
    <row r="19" spans="1:7">
      <c r="A19" s="75" t="str">
        <f t="shared" si="3"/>
        <v>128</v>
      </c>
      <c r="B19" s="19" t="s">
        <v>210</v>
      </c>
      <c r="C19" s="18" t="s">
        <v>581</v>
      </c>
      <c r="D19" s="20">
        <v>19317.14</v>
      </c>
      <c r="E19" s="20">
        <v>0</v>
      </c>
      <c r="F19" s="80">
        <f t="shared" si="1"/>
        <v>19317.14</v>
      </c>
      <c r="G19" s="41" t="str">
        <f>VLOOKUP(A19,'Hesap Planı'!B:D,3,0)</f>
        <v>P</v>
      </c>
    </row>
    <row r="20" spans="1:7">
      <c r="A20" s="75" t="str">
        <f t="shared" si="3"/>
        <v>128</v>
      </c>
      <c r="B20" s="19" t="s">
        <v>211</v>
      </c>
      <c r="C20" s="18" t="s">
        <v>581</v>
      </c>
      <c r="D20" s="20">
        <v>1662.24</v>
      </c>
      <c r="E20" s="20">
        <v>0</v>
      </c>
      <c r="F20" s="80">
        <f t="shared" si="1"/>
        <v>1662.24</v>
      </c>
      <c r="G20" s="41" t="str">
        <f>VLOOKUP(A20,'Hesap Planı'!B:D,3,0)</f>
        <v>P</v>
      </c>
    </row>
    <row r="21" spans="1:7">
      <c r="A21" s="75" t="str">
        <f t="shared" si="3"/>
        <v>129</v>
      </c>
      <c r="B21" s="19" t="s">
        <v>212</v>
      </c>
      <c r="C21" s="18" t="s">
        <v>15</v>
      </c>
      <c r="D21" s="20">
        <v>0</v>
      </c>
      <c r="E21" s="20">
        <v>27979.38</v>
      </c>
      <c r="F21" s="80">
        <f t="shared" si="1"/>
        <v>-27979.38</v>
      </c>
      <c r="G21" s="41" t="str">
        <f>VLOOKUP(A21,'Hesap Planı'!B:D,3,0)</f>
        <v>P</v>
      </c>
    </row>
    <row r="22" spans="1:7">
      <c r="A22" s="75" t="str">
        <f t="shared" si="3"/>
        <v>136</v>
      </c>
      <c r="B22" s="19" t="s">
        <v>214</v>
      </c>
      <c r="C22" s="18" t="s">
        <v>215</v>
      </c>
      <c r="D22" s="20">
        <v>37646.410000000003</v>
      </c>
      <c r="E22" s="20">
        <v>0</v>
      </c>
      <c r="F22" s="80">
        <f t="shared" si="1"/>
        <v>37646.410000000003</v>
      </c>
      <c r="G22" s="41" t="str">
        <f>VLOOKUP(A22,'Hesap Planı'!B:D,3,0)</f>
        <v>P</v>
      </c>
    </row>
    <row r="23" spans="1:7">
      <c r="A23" s="75" t="str">
        <f t="shared" si="3"/>
        <v>136</v>
      </c>
      <c r="B23" s="19" t="s">
        <v>216</v>
      </c>
      <c r="C23" s="18" t="s">
        <v>213</v>
      </c>
      <c r="D23" s="20">
        <v>79106.84</v>
      </c>
      <c r="E23" s="20">
        <v>0</v>
      </c>
      <c r="F23" s="80">
        <f t="shared" si="1"/>
        <v>79106.84</v>
      </c>
      <c r="G23" s="41" t="str">
        <f>VLOOKUP(A23,'Hesap Planı'!B:D,3,0)</f>
        <v>P</v>
      </c>
    </row>
    <row r="24" spans="1:7">
      <c r="A24" s="75" t="str">
        <f t="shared" si="3"/>
        <v>150</v>
      </c>
      <c r="B24" s="19" t="s">
        <v>217</v>
      </c>
      <c r="C24" s="18" t="s">
        <v>569</v>
      </c>
      <c r="D24" s="20">
        <v>2357000.5</v>
      </c>
      <c r="E24" s="20">
        <v>0</v>
      </c>
      <c r="F24" s="80">
        <f t="shared" si="1"/>
        <v>2357000.5</v>
      </c>
      <c r="G24" s="41" t="str">
        <f>VLOOKUP(A24,'Hesap Planı'!B:D,3,0)</f>
        <v>PO</v>
      </c>
    </row>
    <row r="25" spans="1:7">
      <c r="A25" s="75" t="str">
        <f t="shared" ref="A25:A26" si="4">LEFT(B25,3)</f>
        <v>150</v>
      </c>
      <c r="B25" s="19" t="s">
        <v>217</v>
      </c>
      <c r="C25" s="18" t="s">
        <v>570</v>
      </c>
      <c r="D25" s="20">
        <v>1000297.75</v>
      </c>
      <c r="E25" s="20">
        <v>0</v>
      </c>
      <c r="F25" s="80">
        <f t="shared" si="1"/>
        <v>1000297.75</v>
      </c>
      <c r="G25" s="41" t="str">
        <f>VLOOKUP(A25,'Hesap Planı'!B:D,3,0)</f>
        <v>PO</v>
      </c>
    </row>
    <row r="26" spans="1:7">
      <c r="A26" s="75" t="str">
        <f t="shared" si="4"/>
        <v>150</v>
      </c>
      <c r="B26" s="19" t="s">
        <v>217</v>
      </c>
      <c r="C26" s="18" t="s">
        <v>571</v>
      </c>
      <c r="D26" s="20">
        <v>525250</v>
      </c>
      <c r="E26" s="20">
        <v>0</v>
      </c>
      <c r="F26" s="80">
        <f t="shared" si="1"/>
        <v>525250</v>
      </c>
      <c r="G26" s="41" t="str">
        <f>VLOOKUP(A26,'Hesap Planı'!B:D,3,0)</f>
        <v>PO</v>
      </c>
    </row>
    <row r="27" spans="1:7">
      <c r="A27" s="75" t="str">
        <f t="shared" si="3"/>
        <v>151</v>
      </c>
      <c r="B27" s="19" t="s">
        <v>218</v>
      </c>
      <c r="C27" s="18" t="s">
        <v>572</v>
      </c>
      <c r="D27" s="20">
        <v>9229381.7400000002</v>
      </c>
      <c r="E27" s="20">
        <v>0</v>
      </c>
      <c r="F27" s="80">
        <f t="shared" si="1"/>
        <v>9229381.7400000002</v>
      </c>
      <c r="G27" s="41" t="str">
        <f>VLOOKUP(A27,'Hesap Planı'!B:D,3,0)</f>
        <v>PO</v>
      </c>
    </row>
    <row r="28" spans="1:7">
      <c r="A28" s="75" t="str">
        <f t="shared" ref="A28:A29" si="5">LEFT(B28,3)</f>
        <v>151</v>
      </c>
      <c r="B28" s="19" t="s">
        <v>218</v>
      </c>
      <c r="C28" s="18" t="s">
        <v>573</v>
      </c>
      <c r="D28" s="20">
        <v>2532000</v>
      </c>
      <c r="E28" s="20">
        <v>0</v>
      </c>
      <c r="F28" s="80">
        <f t="shared" si="1"/>
        <v>2532000</v>
      </c>
      <c r="G28" s="41" t="str">
        <f>VLOOKUP(A28,'Hesap Planı'!B:D,3,0)</f>
        <v>PO</v>
      </c>
    </row>
    <row r="29" spans="1:7">
      <c r="A29" s="75" t="str">
        <f t="shared" si="5"/>
        <v>151</v>
      </c>
      <c r="B29" s="19" t="s">
        <v>218</v>
      </c>
      <c r="C29" s="18" t="s">
        <v>574</v>
      </c>
      <c r="D29" s="20">
        <v>654000</v>
      </c>
      <c r="E29" s="20">
        <v>0</v>
      </c>
      <c r="F29" s="80">
        <f t="shared" si="1"/>
        <v>654000</v>
      </c>
      <c r="G29" s="41" t="str">
        <f>VLOOKUP(A29,'Hesap Planı'!B:D,3,0)</f>
        <v>PO</v>
      </c>
    </row>
    <row r="30" spans="1:7">
      <c r="A30" s="75" t="str">
        <f t="shared" si="3"/>
        <v>152</v>
      </c>
      <c r="B30" s="19" t="s">
        <v>219</v>
      </c>
      <c r="C30" s="18" t="s">
        <v>575</v>
      </c>
      <c r="D30" s="20">
        <v>2688702.15</v>
      </c>
      <c r="E30" s="20">
        <v>0</v>
      </c>
      <c r="F30" s="80">
        <f t="shared" si="1"/>
        <v>2688702.15</v>
      </c>
      <c r="G30" s="41" t="str">
        <f>VLOOKUP(A30,'Hesap Planı'!B:D,3,0)</f>
        <v>PO</v>
      </c>
    </row>
    <row r="31" spans="1:7">
      <c r="A31" s="75" t="str">
        <f t="shared" ref="A31:A32" si="6">LEFT(B31,3)</f>
        <v>152</v>
      </c>
      <c r="B31" s="19" t="s">
        <v>219</v>
      </c>
      <c r="C31" s="18" t="s">
        <v>576</v>
      </c>
      <c r="D31" s="20">
        <v>3012000</v>
      </c>
      <c r="E31" s="20">
        <v>0</v>
      </c>
      <c r="F31" s="80">
        <f t="shared" si="1"/>
        <v>3012000</v>
      </c>
      <c r="G31" s="41" t="str">
        <f>VLOOKUP(A31,'Hesap Planı'!B:D,3,0)</f>
        <v>PO</v>
      </c>
    </row>
    <row r="32" spans="1:7">
      <c r="A32" s="75" t="str">
        <f t="shared" si="6"/>
        <v>152</v>
      </c>
      <c r="B32" s="19" t="s">
        <v>219</v>
      </c>
      <c r="C32" s="18" t="s">
        <v>577</v>
      </c>
      <c r="D32" s="20">
        <v>1650000</v>
      </c>
      <c r="E32" s="20">
        <v>0</v>
      </c>
      <c r="F32" s="80">
        <f t="shared" si="1"/>
        <v>1650000</v>
      </c>
      <c r="G32" s="41" t="str">
        <f>VLOOKUP(A32,'Hesap Planı'!B:D,3,0)</f>
        <v>PO</v>
      </c>
    </row>
    <row r="33" spans="1:7">
      <c r="A33" s="75" t="str">
        <f t="shared" si="3"/>
        <v>153</v>
      </c>
      <c r="B33" s="19" t="s">
        <v>220</v>
      </c>
      <c r="C33" s="18" t="s">
        <v>585</v>
      </c>
      <c r="D33" s="20">
        <v>2500</v>
      </c>
      <c r="E33" s="20">
        <v>0</v>
      </c>
      <c r="F33" s="80">
        <f t="shared" si="1"/>
        <v>2500</v>
      </c>
      <c r="G33" s="41" t="str">
        <f>VLOOKUP(A33,'Hesap Planı'!B:D,3,0)</f>
        <v>PO</v>
      </c>
    </row>
    <row r="34" spans="1:7">
      <c r="A34" s="75" t="str">
        <f t="shared" si="3"/>
        <v>153</v>
      </c>
      <c r="B34" s="19" t="s">
        <v>221</v>
      </c>
      <c r="C34" s="18" t="s">
        <v>586</v>
      </c>
      <c r="D34" s="20">
        <v>16399.98</v>
      </c>
      <c r="E34" s="20">
        <v>0</v>
      </c>
      <c r="F34" s="80">
        <f t="shared" si="1"/>
        <v>16399.98</v>
      </c>
      <c r="G34" s="41" t="str">
        <f>VLOOKUP(A34,'Hesap Planı'!B:D,3,0)</f>
        <v>PO</v>
      </c>
    </row>
    <row r="35" spans="1:7">
      <c r="A35" s="75" t="str">
        <f t="shared" si="3"/>
        <v>153</v>
      </c>
      <c r="B35" s="19" t="s">
        <v>222</v>
      </c>
      <c r="C35" s="18" t="s">
        <v>587</v>
      </c>
      <c r="D35" s="20">
        <v>147685.19</v>
      </c>
      <c r="E35" s="20">
        <v>0</v>
      </c>
      <c r="F35" s="80">
        <f t="shared" si="1"/>
        <v>147685.19</v>
      </c>
      <c r="G35" s="41" t="str">
        <f>VLOOKUP(A35,'Hesap Planı'!B:D,3,0)</f>
        <v>PO</v>
      </c>
    </row>
    <row r="36" spans="1:7">
      <c r="A36" s="75" t="str">
        <f t="shared" ref="A36:A38" si="7">LEFT(B36,3)</f>
        <v>157</v>
      </c>
      <c r="B36" s="19" t="s">
        <v>223</v>
      </c>
      <c r="C36" s="18" t="s">
        <v>224</v>
      </c>
      <c r="D36" s="20">
        <v>93294.77</v>
      </c>
      <c r="E36" s="20">
        <v>0</v>
      </c>
      <c r="F36" s="80">
        <f t="shared" si="1"/>
        <v>93294.77</v>
      </c>
      <c r="G36" s="41" t="str">
        <f>VLOOKUP(A36,'Hesap Planı'!B:D,3,0)</f>
        <v>PO</v>
      </c>
    </row>
    <row r="37" spans="1:7">
      <c r="A37" s="75" t="str">
        <f t="shared" si="7"/>
        <v>157</v>
      </c>
      <c r="B37" s="19" t="s">
        <v>225</v>
      </c>
      <c r="C37" s="18" t="s">
        <v>226</v>
      </c>
      <c r="D37" s="20">
        <v>19779</v>
      </c>
      <c r="E37" s="20">
        <v>0</v>
      </c>
      <c r="F37" s="80">
        <f t="shared" si="1"/>
        <v>19779</v>
      </c>
      <c r="G37" s="41" t="str">
        <f>VLOOKUP(A37,'Hesap Planı'!B:D,3,0)</f>
        <v>PO</v>
      </c>
    </row>
    <row r="38" spans="1:7">
      <c r="A38" s="75" t="str">
        <f t="shared" si="7"/>
        <v>157</v>
      </c>
      <c r="B38" s="19" t="s">
        <v>227</v>
      </c>
      <c r="C38" s="18" t="s">
        <v>588</v>
      </c>
      <c r="D38" s="20">
        <v>2593.5300000000002</v>
      </c>
      <c r="E38" s="20">
        <v>0</v>
      </c>
      <c r="F38" s="80">
        <f t="shared" si="1"/>
        <v>2593.5300000000002</v>
      </c>
      <c r="G38" s="41" t="str">
        <f>VLOOKUP(A38,'Hesap Planı'!B:D,3,0)</f>
        <v>PO</v>
      </c>
    </row>
    <row r="39" spans="1:7">
      <c r="A39" s="75" t="str">
        <f t="shared" ref="A39:A41" si="8">LEFT(B39,3)</f>
        <v>159</v>
      </c>
      <c r="B39" s="19" t="s">
        <v>228</v>
      </c>
      <c r="C39" s="18" t="s">
        <v>615</v>
      </c>
      <c r="D39" s="20">
        <v>576349.86</v>
      </c>
      <c r="E39" s="20">
        <v>0</v>
      </c>
      <c r="F39" s="80">
        <f t="shared" si="1"/>
        <v>576349.86</v>
      </c>
      <c r="G39" s="41" t="str">
        <f>VLOOKUP(A39,'Hesap Planı'!B:D,3,0)</f>
        <v>PO</v>
      </c>
    </row>
    <row r="40" spans="1:7">
      <c r="A40" s="75" t="str">
        <f t="shared" si="8"/>
        <v>159</v>
      </c>
      <c r="B40" s="19" t="s">
        <v>229</v>
      </c>
      <c r="C40" s="18" t="s">
        <v>616</v>
      </c>
      <c r="D40" s="20">
        <v>450356.89</v>
      </c>
      <c r="E40" s="20">
        <v>0</v>
      </c>
      <c r="F40" s="80">
        <f t="shared" si="1"/>
        <v>450356.89</v>
      </c>
      <c r="G40" s="41" t="str">
        <f>VLOOKUP(A40,'Hesap Planı'!B:D,3,0)</f>
        <v>PO</v>
      </c>
    </row>
    <row r="41" spans="1:7">
      <c r="A41" s="75" t="str">
        <f t="shared" si="8"/>
        <v>159</v>
      </c>
      <c r="B41" s="19" t="s">
        <v>230</v>
      </c>
      <c r="C41" s="18" t="s">
        <v>589</v>
      </c>
      <c r="D41" s="20">
        <v>4207</v>
      </c>
      <c r="E41" s="20">
        <v>0</v>
      </c>
      <c r="F41" s="80">
        <f t="shared" si="1"/>
        <v>4207</v>
      </c>
      <c r="G41" s="41" t="str">
        <f>VLOOKUP(A41,'Hesap Planı'!B:D,3,0)</f>
        <v>PO</v>
      </c>
    </row>
    <row r="42" spans="1:7">
      <c r="A42" s="75" t="str">
        <f t="shared" ref="A42:A46" si="9">LEFT(B42,3)</f>
        <v>180</v>
      </c>
      <c r="B42" s="19" t="s">
        <v>231</v>
      </c>
      <c r="C42" s="18" t="s">
        <v>232</v>
      </c>
      <c r="D42" s="20">
        <v>20170.09</v>
      </c>
      <c r="E42" s="20">
        <v>0</v>
      </c>
      <c r="F42" s="80">
        <f t="shared" si="1"/>
        <v>20170.09</v>
      </c>
      <c r="G42" s="41" t="str">
        <f>VLOOKUP(A42,'Hesap Planı'!B:D,3,0)</f>
        <v>PO</v>
      </c>
    </row>
    <row r="43" spans="1:7">
      <c r="A43" s="75" t="str">
        <f t="shared" si="9"/>
        <v>180</v>
      </c>
      <c r="B43" s="19" t="s">
        <v>233</v>
      </c>
      <c r="C43" s="18" t="s">
        <v>234</v>
      </c>
      <c r="D43" s="20">
        <v>17077.71</v>
      </c>
      <c r="E43" s="20">
        <v>0</v>
      </c>
      <c r="F43" s="80">
        <f t="shared" si="1"/>
        <v>17077.71</v>
      </c>
      <c r="G43" s="41" t="str">
        <f>VLOOKUP(A43,'Hesap Planı'!B:D,3,0)</f>
        <v>PO</v>
      </c>
    </row>
    <row r="44" spans="1:7">
      <c r="A44" s="75" t="str">
        <f t="shared" si="9"/>
        <v>180</v>
      </c>
      <c r="B44" s="19" t="s">
        <v>235</v>
      </c>
      <c r="C44" s="18" t="s">
        <v>236</v>
      </c>
      <c r="D44" s="20">
        <v>17102.97</v>
      </c>
      <c r="E44" s="20">
        <v>0</v>
      </c>
      <c r="F44" s="80">
        <f t="shared" si="1"/>
        <v>17102.97</v>
      </c>
      <c r="G44" s="41" t="str">
        <f>VLOOKUP(A44,'Hesap Planı'!B:D,3,0)</f>
        <v>PO</v>
      </c>
    </row>
    <row r="45" spans="1:7">
      <c r="A45" s="75" t="str">
        <f t="shared" si="9"/>
        <v>180</v>
      </c>
      <c r="B45" s="19" t="s">
        <v>237</v>
      </c>
      <c r="C45" s="18" t="s">
        <v>238</v>
      </c>
      <c r="D45" s="20">
        <v>16500.72</v>
      </c>
      <c r="E45" s="20">
        <v>0</v>
      </c>
      <c r="F45" s="80">
        <f t="shared" si="1"/>
        <v>16500.72</v>
      </c>
      <c r="G45" s="41" t="str">
        <f>VLOOKUP(A45,'Hesap Planı'!B:D,3,0)</f>
        <v>PO</v>
      </c>
    </row>
    <row r="46" spans="1:7">
      <c r="A46" s="75" t="str">
        <f t="shared" si="9"/>
        <v>190</v>
      </c>
      <c r="B46" s="19" t="s">
        <v>242</v>
      </c>
      <c r="C46" s="18" t="s">
        <v>241</v>
      </c>
      <c r="D46" s="20">
        <v>5128458.33</v>
      </c>
      <c r="E46" s="20">
        <v>0</v>
      </c>
      <c r="F46" s="80">
        <f t="shared" si="1"/>
        <v>5128458.33</v>
      </c>
      <c r="G46" s="41" t="str">
        <f>VLOOKUP(A46,'Hesap Planı'!B:D,3,0)</f>
        <v>P</v>
      </c>
    </row>
    <row r="47" spans="1:7">
      <c r="A47" s="75" t="str">
        <f t="shared" ref="A47:A77" si="10">LEFT(B47,3)</f>
        <v>192</v>
      </c>
      <c r="B47" s="19" t="s">
        <v>245</v>
      </c>
      <c r="C47" s="18" t="s">
        <v>243</v>
      </c>
      <c r="D47" s="20">
        <v>1113317.1299999999</v>
      </c>
      <c r="E47" s="20">
        <v>0</v>
      </c>
      <c r="F47" s="80">
        <f t="shared" si="1"/>
        <v>1113317.1299999999</v>
      </c>
      <c r="G47" s="41" t="str">
        <f>VLOOKUP(A47,'Hesap Planı'!B:D,3,0)</f>
        <v>P</v>
      </c>
    </row>
    <row r="48" spans="1:7">
      <c r="A48" s="75" t="str">
        <f t="shared" si="10"/>
        <v>192</v>
      </c>
      <c r="B48" s="19" t="s">
        <v>246</v>
      </c>
      <c r="C48" s="18" t="s">
        <v>244</v>
      </c>
      <c r="D48" s="20">
        <v>1621738.03</v>
      </c>
      <c r="E48" s="20">
        <v>0</v>
      </c>
      <c r="F48" s="80">
        <f t="shared" si="1"/>
        <v>1621738.03</v>
      </c>
      <c r="G48" s="41" t="str">
        <f>VLOOKUP(A48,'Hesap Planı'!B:D,3,0)</f>
        <v>P</v>
      </c>
    </row>
    <row r="49" spans="1:7">
      <c r="A49" s="75" t="str">
        <f t="shared" si="10"/>
        <v>195</v>
      </c>
      <c r="B49" s="19" t="s">
        <v>247</v>
      </c>
      <c r="C49" s="18" t="s">
        <v>590</v>
      </c>
      <c r="D49" s="20">
        <v>526.4</v>
      </c>
      <c r="E49" s="20">
        <v>0</v>
      </c>
      <c r="F49" s="80">
        <f t="shared" si="1"/>
        <v>526.4</v>
      </c>
      <c r="G49" s="41" t="str">
        <f>VLOOKUP(A49,'Hesap Planı'!B:D,3,0)</f>
        <v>P</v>
      </c>
    </row>
    <row r="50" spans="1:7">
      <c r="A50" s="75" t="str">
        <f t="shared" si="10"/>
        <v>195</v>
      </c>
      <c r="B50" s="19" t="s">
        <v>248</v>
      </c>
      <c r="C50" s="18" t="s">
        <v>591</v>
      </c>
      <c r="D50" s="20">
        <v>838.87</v>
      </c>
      <c r="E50" s="20">
        <v>0</v>
      </c>
      <c r="F50" s="80">
        <f t="shared" si="1"/>
        <v>838.87</v>
      </c>
      <c r="G50" s="41" t="str">
        <f>VLOOKUP(A50,'Hesap Planı'!B:D,3,0)</f>
        <v>P</v>
      </c>
    </row>
    <row r="51" spans="1:7">
      <c r="A51" s="75" t="str">
        <f t="shared" si="10"/>
        <v>245</v>
      </c>
      <c r="B51" s="19" t="s">
        <v>249</v>
      </c>
      <c r="C51" s="18" t="s">
        <v>592</v>
      </c>
      <c r="D51" s="20">
        <v>495000</v>
      </c>
      <c r="E51" s="20">
        <v>0</v>
      </c>
      <c r="F51" s="80">
        <f t="shared" si="1"/>
        <v>495000</v>
      </c>
      <c r="G51" s="41" t="str">
        <f>VLOOKUP(A51,'Hesap Planı'!B:D,3,0)</f>
        <v>PO</v>
      </c>
    </row>
    <row r="52" spans="1:7">
      <c r="A52" s="75" t="str">
        <f t="shared" si="10"/>
        <v>250</v>
      </c>
      <c r="B52" s="19" t="s">
        <v>250</v>
      </c>
      <c r="C52" s="18" t="s">
        <v>51</v>
      </c>
      <c r="D52" s="20">
        <v>3843708.49</v>
      </c>
      <c r="E52" s="20">
        <v>0</v>
      </c>
      <c r="F52" s="80">
        <f t="shared" si="1"/>
        <v>3843708.49</v>
      </c>
      <c r="G52" s="41" t="str">
        <f>VLOOKUP(A52,'Hesap Planı'!B:D,3,0)</f>
        <v>PO</v>
      </c>
    </row>
    <row r="53" spans="1:7">
      <c r="A53" s="75" t="str">
        <f t="shared" si="10"/>
        <v>251</v>
      </c>
      <c r="B53" s="19" t="s">
        <v>251</v>
      </c>
      <c r="C53" s="18" t="s">
        <v>52</v>
      </c>
      <c r="D53" s="20">
        <v>87715.93</v>
      </c>
      <c r="E53" s="20">
        <v>0</v>
      </c>
      <c r="F53" s="80">
        <f t="shared" si="1"/>
        <v>87715.93</v>
      </c>
      <c r="G53" s="41" t="str">
        <f>VLOOKUP(A53,'Hesap Planı'!B:D,3,0)</f>
        <v>PO</v>
      </c>
    </row>
    <row r="54" spans="1:7">
      <c r="A54" s="75" t="str">
        <f t="shared" si="10"/>
        <v>252</v>
      </c>
      <c r="B54" s="19" t="s">
        <v>171</v>
      </c>
      <c r="C54" s="18" t="s">
        <v>53</v>
      </c>
      <c r="D54" s="20">
        <v>117877644.05</v>
      </c>
      <c r="E54" s="20">
        <v>0</v>
      </c>
      <c r="F54" s="80">
        <f t="shared" si="1"/>
        <v>117877644.05</v>
      </c>
      <c r="G54" s="41" t="str">
        <f>VLOOKUP(A54,'Hesap Planı'!B:D,3,0)</f>
        <v>PO</v>
      </c>
    </row>
    <row r="55" spans="1:7">
      <c r="A55" s="75" t="str">
        <f t="shared" si="10"/>
        <v>253</v>
      </c>
      <c r="B55" s="19" t="s">
        <v>172</v>
      </c>
      <c r="C55" s="18" t="s">
        <v>54</v>
      </c>
      <c r="D55" s="20">
        <v>73729503.370000005</v>
      </c>
      <c r="E55" s="20">
        <v>0</v>
      </c>
      <c r="F55" s="80">
        <f t="shared" si="1"/>
        <v>73729503.370000005</v>
      </c>
      <c r="G55" s="41" t="str">
        <f>VLOOKUP(A55,'Hesap Planı'!B:D,3,0)</f>
        <v>PO</v>
      </c>
    </row>
    <row r="56" spans="1:7">
      <c r="A56" s="75" t="str">
        <f t="shared" si="10"/>
        <v>254</v>
      </c>
      <c r="B56" s="19" t="s">
        <v>173</v>
      </c>
      <c r="C56" s="18" t="s">
        <v>55</v>
      </c>
      <c r="D56" s="20">
        <v>9578546.3399999999</v>
      </c>
      <c r="E56" s="20">
        <v>0</v>
      </c>
      <c r="F56" s="80">
        <f t="shared" si="1"/>
        <v>9578546.3399999999</v>
      </c>
      <c r="G56" s="41" t="str">
        <f>VLOOKUP(A56,'Hesap Planı'!B:D,3,0)</f>
        <v>PO</v>
      </c>
    </row>
    <row r="57" spans="1:7">
      <c r="A57" s="75" t="str">
        <f t="shared" si="10"/>
        <v>255</v>
      </c>
      <c r="B57" s="19" t="s">
        <v>174</v>
      </c>
      <c r="C57" s="18" t="s">
        <v>56</v>
      </c>
      <c r="D57" s="20">
        <v>1686366.1</v>
      </c>
      <c r="E57" s="20">
        <v>0</v>
      </c>
      <c r="F57" s="80">
        <f t="shared" si="1"/>
        <v>1686366.1</v>
      </c>
      <c r="G57" s="41" t="str">
        <f>VLOOKUP(A57,'Hesap Planı'!B:D,3,0)</f>
        <v>PO</v>
      </c>
    </row>
    <row r="58" spans="1:7">
      <c r="A58" s="75" t="str">
        <f t="shared" si="10"/>
        <v>257</v>
      </c>
      <c r="B58" s="19" t="s">
        <v>252</v>
      </c>
      <c r="C58" s="18" t="s">
        <v>253</v>
      </c>
      <c r="D58" s="20">
        <v>0</v>
      </c>
      <c r="E58" s="20">
        <v>49020.37</v>
      </c>
      <c r="F58" s="80">
        <f t="shared" si="1"/>
        <v>-49020.37</v>
      </c>
      <c r="G58" s="41" t="str">
        <f>VLOOKUP(A58,'Hesap Planı'!B:D,3,0)</f>
        <v>PO</v>
      </c>
    </row>
    <row r="59" spans="1:7">
      <c r="A59" s="75" t="str">
        <f t="shared" si="10"/>
        <v>257</v>
      </c>
      <c r="B59" s="19" t="s">
        <v>254</v>
      </c>
      <c r="C59" s="18" t="s">
        <v>255</v>
      </c>
      <c r="D59" s="20">
        <v>0</v>
      </c>
      <c r="E59" s="20">
        <v>13407373.4</v>
      </c>
      <c r="F59" s="80">
        <f t="shared" si="1"/>
        <v>-13407373.4</v>
      </c>
      <c r="G59" s="41" t="str">
        <f>VLOOKUP(A59,'Hesap Planı'!B:D,3,0)</f>
        <v>PO</v>
      </c>
    </row>
    <row r="60" spans="1:7">
      <c r="A60" s="75" t="str">
        <f t="shared" si="10"/>
        <v>257</v>
      </c>
      <c r="B60" s="19" t="s">
        <v>256</v>
      </c>
      <c r="C60" s="18" t="s">
        <v>257</v>
      </c>
      <c r="D60" s="20">
        <v>0</v>
      </c>
      <c r="E60" s="20">
        <v>37637788.310000002</v>
      </c>
      <c r="F60" s="80">
        <f t="shared" si="1"/>
        <v>-37637788.310000002</v>
      </c>
      <c r="G60" s="41" t="str">
        <f>VLOOKUP(A60,'Hesap Planı'!B:D,3,0)</f>
        <v>PO</v>
      </c>
    </row>
    <row r="61" spans="1:7">
      <c r="A61" s="75" t="str">
        <f t="shared" si="10"/>
        <v>257</v>
      </c>
      <c r="B61" s="19" t="s">
        <v>258</v>
      </c>
      <c r="C61" s="18" t="s">
        <v>259</v>
      </c>
      <c r="D61" s="20">
        <v>0</v>
      </c>
      <c r="E61" s="20">
        <v>183045.07</v>
      </c>
      <c r="F61" s="80">
        <f t="shared" si="1"/>
        <v>-183045.07</v>
      </c>
      <c r="G61" s="41" t="str">
        <f>VLOOKUP(A61,'Hesap Planı'!B:D,3,0)</f>
        <v>PO</v>
      </c>
    </row>
    <row r="62" spans="1:7">
      <c r="A62" s="75" t="str">
        <f t="shared" si="10"/>
        <v>257</v>
      </c>
      <c r="B62" s="19" t="s">
        <v>260</v>
      </c>
      <c r="C62" s="18" t="s">
        <v>261</v>
      </c>
      <c r="D62" s="20">
        <v>0</v>
      </c>
      <c r="E62" s="20">
        <v>1076511.26</v>
      </c>
      <c r="F62" s="80">
        <f t="shared" si="1"/>
        <v>-1076511.26</v>
      </c>
      <c r="G62" s="41" t="str">
        <f>VLOOKUP(A62,'Hesap Planı'!B:D,3,0)</f>
        <v>PO</v>
      </c>
    </row>
    <row r="63" spans="1:7">
      <c r="A63" s="75" t="str">
        <f t="shared" si="10"/>
        <v>260</v>
      </c>
      <c r="B63" s="19" t="s">
        <v>262</v>
      </c>
      <c r="C63" s="18" t="s">
        <v>61</v>
      </c>
      <c r="D63" s="20">
        <v>118708.2</v>
      </c>
      <c r="E63" s="20">
        <v>0</v>
      </c>
      <c r="F63" s="80">
        <f t="shared" si="1"/>
        <v>118708.2</v>
      </c>
      <c r="G63" s="41" t="str">
        <f>VLOOKUP(A63,'Hesap Planı'!B:D,3,0)</f>
        <v>PO</v>
      </c>
    </row>
    <row r="64" spans="1:7">
      <c r="A64" s="75" t="str">
        <f t="shared" si="10"/>
        <v>260</v>
      </c>
      <c r="B64" s="19" t="s">
        <v>263</v>
      </c>
      <c r="C64" s="18" t="s">
        <v>593</v>
      </c>
      <c r="D64" s="20">
        <v>1287367.6799999999</v>
      </c>
      <c r="E64" s="20">
        <v>0</v>
      </c>
      <c r="F64" s="80">
        <f t="shared" si="1"/>
        <v>1287367.6799999999</v>
      </c>
      <c r="G64" s="41" t="str">
        <f>VLOOKUP(A64,'Hesap Planı'!B:D,3,0)</f>
        <v>PO</v>
      </c>
    </row>
    <row r="65" spans="1:7">
      <c r="A65" s="75" t="str">
        <f t="shared" si="10"/>
        <v>263</v>
      </c>
      <c r="B65" s="19" t="s">
        <v>264</v>
      </c>
      <c r="C65" s="18" t="s">
        <v>64</v>
      </c>
      <c r="D65" s="20">
        <v>65201.32</v>
      </c>
      <c r="E65" s="20">
        <v>0</v>
      </c>
      <c r="F65" s="80">
        <f t="shared" si="1"/>
        <v>65201.32</v>
      </c>
      <c r="G65" s="41" t="str">
        <f>VLOOKUP(A65,'Hesap Planı'!B:D,3,0)</f>
        <v>PO</v>
      </c>
    </row>
    <row r="66" spans="1:7">
      <c r="A66" s="75" t="str">
        <f t="shared" si="10"/>
        <v>264</v>
      </c>
      <c r="B66" s="19" t="s">
        <v>265</v>
      </c>
      <c r="C66" s="18" t="s">
        <v>65</v>
      </c>
      <c r="D66" s="20">
        <v>22582.92</v>
      </c>
      <c r="E66" s="20">
        <v>0</v>
      </c>
      <c r="F66" s="80">
        <f t="shared" si="1"/>
        <v>22582.92</v>
      </c>
      <c r="G66" s="41" t="str">
        <f>VLOOKUP(A66,'Hesap Planı'!B:D,3,0)</f>
        <v>PO</v>
      </c>
    </row>
    <row r="67" spans="1:7">
      <c r="A67" s="75" t="str">
        <f t="shared" si="10"/>
        <v>267</v>
      </c>
      <c r="B67" s="19" t="s">
        <v>266</v>
      </c>
      <c r="C67" s="18" t="s">
        <v>66</v>
      </c>
      <c r="D67" s="20">
        <v>453385.26</v>
      </c>
      <c r="E67" s="20">
        <v>0</v>
      </c>
      <c r="F67" s="80">
        <f t="shared" si="1"/>
        <v>453385.26</v>
      </c>
      <c r="G67" s="41" t="str">
        <f>VLOOKUP(A67,'Hesap Planı'!B:D,3,0)</f>
        <v>PO</v>
      </c>
    </row>
    <row r="68" spans="1:7">
      <c r="A68" s="75" t="str">
        <f t="shared" si="10"/>
        <v>268</v>
      </c>
      <c r="B68" s="19" t="s">
        <v>267</v>
      </c>
      <c r="C68" s="18" t="s">
        <v>268</v>
      </c>
      <c r="D68" s="20">
        <v>0</v>
      </c>
      <c r="E68" s="20">
        <v>225261.57</v>
      </c>
      <c r="F68" s="80">
        <f t="shared" si="1"/>
        <v>-225261.57</v>
      </c>
      <c r="G68" s="41" t="str">
        <f>VLOOKUP(A68,'Hesap Planı'!B:D,3,0)</f>
        <v>PO</v>
      </c>
    </row>
    <row r="69" spans="1:7">
      <c r="A69" s="75" t="str">
        <f t="shared" si="10"/>
        <v>268</v>
      </c>
      <c r="B69" s="19" t="s">
        <v>269</v>
      </c>
      <c r="C69" s="18" t="s">
        <v>270</v>
      </c>
      <c r="D69" s="20">
        <v>0</v>
      </c>
      <c r="E69" s="20">
        <v>14127.36</v>
      </c>
      <c r="F69" s="80">
        <f t="shared" ref="F69:F128" si="11">+D69-E69</f>
        <v>-14127.36</v>
      </c>
      <c r="G69" s="41" t="str">
        <f>VLOOKUP(A69,'Hesap Planı'!B:D,3,0)</f>
        <v>PO</v>
      </c>
    </row>
    <row r="70" spans="1:7">
      <c r="A70" s="75" t="str">
        <f t="shared" si="10"/>
        <v>268</v>
      </c>
      <c r="B70" s="19" t="s">
        <v>271</v>
      </c>
      <c r="C70" s="18" t="s">
        <v>272</v>
      </c>
      <c r="D70" s="20">
        <v>0</v>
      </c>
      <c r="E70" s="20">
        <v>375407.4</v>
      </c>
      <c r="F70" s="80">
        <f t="shared" si="11"/>
        <v>-375407.4</v>
      </c>
      <c r="G70" s="41" t="str">
        <f>VLOOKUP(A70,'Hesap Planı'!B:D,3,0)</f>
        <v>PO</v>
      </c>
    </row>
    <row r="71" spans="1:7">
      <c r="A71" s="75" t="str">
        <f t="shared" si="10"/>
        <v>268</v>
      </c>
      <c r="B71" s="19" t="s">
        <v>273</v>
      </c>
      <c r="C71" s="18" t="s">
        <v>64</v>
      </c>
      <c r="D71" s="20">
        <v>0</v>
      </c>
      <c r="E71" s="20">
        <v>39120.83</v>
      </c>
      <c r="F71" s="80">
        <f t="shared" si="11"/>
        <v>-39120.83</v>
      </c>
      <c r="G71" s="41" t="str">
        <f>VLOOKUP(A71,'Hesap Planı'!B:D,3,0)</f>
        <v>PO</v>
      </c>
    </row>
    <row r="72" spans="1:7">
      <c r="A72" s="75" t="str">
        <f t="shared" si="10"/>
        <v>300</v>
      </c>
      <c r="B72" s="19" t="s">
        <v>274</v>
      </c>
      <c r="C72" s="18" t="s">
        <v>275</v>
      </c>
      <c r="D72" s="20">
        <v>0</v>
      </c>
      <c r="E72" s="20">
        <v>114950000</v>
      </c>
      <c r="F72" s="80">
        <f t="shared" si="11"/>
        <v>-114950000</v>
      </c>
      <c r="G72" s="41" t="str">
        <f>VLOOKUP(A72,'Hesap Planı'!B:D,3,0)</f>
        <v>P</v>
      </c>
    </row>
    <row r="73" spans="1:7">
      <c r="A73" s="75" t="str">
        <f t="shared" si="10"/>
        <v>300</v>
      </c>
      <c r="B73" s="19" t="s">
        <v>276</v>
      </c>
      <c r="C73" s="18" t="s">
        <v>277</v>
      </c>
      <c r="D73" s="20">
        <v>0</v>
      </c>
      <c r="E73" s="20">
        <v>18640000</v>
      </c>
      <c r="F73" s="80">
        <f t="shared" si="11"/>
        <v>-18640000</v>
      </c>
      <c r="G73" s="41" t="str">
        <f>VLOOKUP(A73,'Hesap Planı'!B:D,3,0)</f>
        <v>P</v>
      </c>
    </row>
    <row r="74" spans="1:7">
      <c r="A74" s="75" t="str">
        <f t="shared" si="10"/>
        <v>300</v>
      </c>
      <c r="B74" s="19" t="s">
        <v>278</v>
      </c>
      <c r="C74" s="18" t="s">
        <v>279</v>
      </c>
      <c r="D74" s="20">
        <v>0</v>
      </c>
      <c r="E74" s="20">
        <v>2500000</v>
      </c>
      <c r="F74" s="80">
        <f t="shared" si="11"/>
        <v>-2500000</v>
      </c>
      <c r="G74" s="41" t="str">
        <f>VLOOKUP(A74,'Hesap Planı'!B:D,3,0)</f>
        <v>P</v>
      </c>
    </row>
    <row r="75" spans="1:7">
      <c r="A75" s="75" t="str">
        <f t="shared" si="10"/>
        <v>303</v>
      </c>
      <c r="B75" s="19" t="s">
        <v>280</v>
      </c>
      <c r="C75" s="18" t="s">
        <v>595</v>
      </c>
      <c r="D75" s="20">
        <v>0</v>
      </c>
      <c r="E75" s="20">
        <v>83333.39</v>
      </c>
      <c r="F75" s="80">
        <f t="shared" si="11"/>
        <v>-83333.39</v>
      </c>
      <c r="G75" s="41" t="str">
        <f>VLOOKUP(A75,'Hesap Planı'!B:D,3,0)</f>
        <v>P</v>
      </c>
    </row>
    <row r="76" spans="1:7">
      <c r="A76" s="75" t="str">
        <f t="shared" si="10"/>
        <v>303</v>
      </c>
      <c r="B76" s="19" t="s">
        <v>281</v>
      </c>
      <c r="C76" s="18" t="s">
        <v>594</v>
      </c>
      <c r="D76" s="20">
        <v>0</v>
      </c>
      <c r="E76" s="20">
        <v>88799.88</v>
      </c>
      <c r="F76" s="80">
        <f t="shared" si="11"/>
        <v>-88799.88</v>
      </c>
      <c r="G76" s="41" t="str">
        <f>VLOOKUP(A76,'Hesap Planı'!B:D,3,0)</f>
        <v>P</v>
      </c>
    </row>
    <row r="77" spans="1:7">
      <c r="A77" s="75" t="str">
        <f t="shared" si="10"/>
        <v>303</v>
      </c>
      <c r="B77" s="19" t="s">
        <v>282</v>
      </c>
      <c r="C77" s="18" t="s">
        <v>596</v>
      </c>
      <c r="D77" s="20">
        <v>0</v>
      </c>
      <c r="E77" s="20">
        <v>130848.73</v>
      </c>
      <c r="F77" s="80">
        <f t="shared" si="11"/>
        <v>-130848.73</v>
      </c>
      <c r="G77" s="41" t="str">
        <f>VLOOKUP(A77,'Hesap Planı'!B:D,3,0)</f>
        <v>P</v>
      </c>
    </row>
    <row r="78" spans="1:7">
      <c r="A78" s="75" t="str">
        <f t="shared" ref="A78:A82" si="12">LEFT(B78,3)</f>
        <v>309</v>
      </c>
      <c r="B78" s="19" t="s">
        <v>283</v>
      </c>
      <c r="C78" s="18" t="s">
        <v>597</v>
      </c>
      <c r="D78" s="20">
        <v>0</v>
      </c>
      <c r="E78" s="20">
        <v>1310.25</v>
      </c>
      <c r="F78" s="80">
        <f t="shared" si="11"/>
        <v>-1310.25</v>
      </c>
      <c r="G78" s="41" t="str">
        <f>VLOOKUP(A78,'Hesap Planı'!B:D,3,0)</f>
        <v>P</v>
      </c>
    </row>
    <row r="79" spans="1:7">
      <c r="A79" s="75" t="str">
        <f t="shared" si="12"/>
        <v>309</v>
      </c>
      <c r="B79" s="19" t="s">
        <v>284</v>
      </c>
      <c r="C79" s="18" t="s">
        <v>598</v>
      </c>
      <c r="D79" s="20">
        <v>0</v>
      </c>
      <c r="E79" s="20">
        <v>203619.53</v>
      </c>
      <c r="F79" s="80">
        <f t="shared" si="11"/>
        <v>-203619.53</v>
      </c>
      <c r="G79" s="41" t="str">
        <f>VLOOKUP(A79,'Hesap Planı'!B:D,3,0)</f>
        <v>P</v>
      </c>
    </row>
    <row r="80" spans="1:7">
      <c r="A80" s="75" t="str">
        <f t="shared" si="12"/>
        <v>320</v>
      </c>
      <c r="B80" s="19" t="s">
        <v>285</v>
      </c>
      <c r="C80" s="18" t="s">
        <v>599</v>
      </c>
      <c r="D80" s="20">
        <v>0</v>
      </c>
      <c r="E80" s="20">
        <v>2151255.25</v>
      </c>
      <c r="F80" s="80">
        <f t="shared" si="11"/>
        <v>-2151255.25</v>
      </c>
      <c r="G80" s="41" t="str">
        <f>VLOOKUP(A80,'Hesap Planı'!B:D,3,0)</f>
        <v>P</v>
      </c>
    </row>
    <row r="81" spans="1:7">
      <c r="A81" s="75" t="str">
        <f t="shared" si="12"/>
        <v>320</v>
      </c>
      <c r="B81" s="19" t="s">
        <v>286</v>
      </c>
      <c r="C81" s="18" t="s">
        <v>600</v>
      </c>
      <c r="D81" s="20">
        <v>0</v>
      </c>
      <c r="E81" s="20">
        <v>422455.31</v>
      </c>
      <c r="F81" s="80">
        <f t="shared" si="11"/>
        <v>-422455.31</v>
      </c>
      <c r="G81" s="41" t="str">
        <f>VLOOKUP(A81,'Hesap Planı'!B:D,3,0)</f>
        <v>P</v>
      </c>
    </row>
    <row r="82" spans="1:7">
      <c r="A82" s="75" t="str">
        <f t="shared" si="12"/>
        <v>320</v>
      </c>
      <c r="B82" s="19" t="s">
        <v>287</v>
      </c>
      <c r="C82" s="18" t="s">
        <v>601</v>
      </c>
      <c r="D82" s="20">
        <v>0</v>
      </c>
      <c r="E82" s="20">
        <v>20325.5</v>
      </c>
      <c r="F82" s="80">
        <f t="shared" si="11"/>
        <v>-20325.5</v>
      </c>
      <c r="G82" s="41" t="str">
        <f>VLOOKUP(A82,'Hesap Planı'!B:D,3,0)</f>
        <v>P</v>
      </c>
    </row>
    <row r="83" spans="1:7">
      <c r="A83" s="75" t="str">
        <f t="shared" ref="A83" si="13">LEFT(B83,3)</f>
        <v>335</v>
      </c>
      <c r="B83" s="19" t="s">
        <v>288</v>
      </c>
      <c r="C83" s="18" t="s">
        <v>91</v>
      </c>
      <c r="D83" s="20">
        <v>0</v>
      </c>
      <c r="E83" s="20">
        <v>7566.27</v>
      </c>
      <c r="F83" s="80">
        <f t="shared" si="11"/>
        <v>-7566.27</v>
      </c>
      <c r="G83" s="41" t="str">
        <f>VLOOKUP(A83,'Hesap Planı'!B:D,3,0)</f>
        <v>P</v>
      </c>
    </row>
    <row r="84" spans="1:7">
      <c r="A84" s="75" t="str">
        <f t="shared" ref="A84:A88" si="14">LEFT(B84,3)</f>
        <v>336</v>
      </c>
      <c r="B84" s="19" t="s">
        <v>289</v>
      </c>
      <c r="C84" s="18" t="s">
        <v>581</v>
      </c>
      <c r="D84" s="20">
        <v>0</v>
      </c>
      <c r="E84" s="20">
        <v>1134.51</v>
      </c>
      <c r="F84" s="80">
        <f t="shared" si="11"/>
        <v>-1134.51</v>
      </c>
      <c r="G84" s="41" t="str">
        <f>VLOOKUP(A84,'Hesap Planı'!B:D,3,0)</f>
        <v>P</v>
      </c>
    </row>
    <row r="85" spans="1:7">
      <c r="A85" s="75" t="str">
        <f t="shared" si="14"/>
        <v>336</v>
      </c>
      <c r="B85" s="19" t="s">
        <v>290</v>
      </c>
      <c r="C85" s="18" t="s">
        <v>582</v>
      </c>
      <c r="D85" s="20">
        <v>0</v>
      </c>
      <c r="E85" s="20">
        <v>273.02</v>
      </c>
      <c r="F85" s="80">
        <f t="shared" si="11"/>
        <v>-273.02</v>
      </c>
      <c r="G85" s="41" t="str">
        <f>VLOOKUP(A85,'Hesap Planı'!B:D,3,0)</f>
        <v>P</v>
      </c>
    </row>
    <row r="86" spans="1:7">
      <c r="A86" s="75" t="str">
        <f t="shared" si="14"/>
        <v>340</v>
      </c>
      <c r="B86" s="19" t="s">
        <v>291</v>
      </c>
      <c r="C86" s="18" t="s">
        <v>612</v>
      </c>
      <c r="D86" s="20">
        <v>0</v>
      </c>
      <c r="E86" s="20">
        <v>355.79</v>
      </c>
      <c r="F86" s="80">
        <f t="shared" si="11"/>
        <v>-355.79</v>
      </c>
      <c r="G86" s="41" t="str">
        <f>VLOOKUP(A86,'Hesap Planı'!B:D,3,0)</f>
        <v>PO</v>
      </c>
    </row>
    <row r="87" spans="1:7">
      <c r="A87" s="75" t="str">
        <f t="shared" si="14"/>
        <v>340</v>
      </c>
      <c r="B87" s="19" t="s">
        <v>292</v>
      </c>
      <c r="C87" s="18" t="s">
        <v>613</v>
      </c>
      <c r="D87" s="20">
        <v>0</v>
      </c>
      <c r="E87" s="20">
        <v>169.99</v>
      </c>
      <c r="F87" s="80">
        <f t="shared" si="11"/>
        <v>-169.99</v>
      </c>
      <c r="G87" s="41" t="str">
        <f>VLOOKUP(A87,'Hesap Planı'!B:D,3,0)</f>
        <v>PO</v>
      </c>
    </row>
    <row r="88" spans="1:7">
      <c r="A88" s="75" t="str">
        <f t="shared" si="14"/>
        <v>340</v>
      </c>
      <c r="B88" s="19" t="s">
        <v>293</v>
      </c>
      <c r="C88" s="18" t="s">
        <v>614</v>
      </c>
      <c r="D88" s="20">
        <v>0</v>
      </c>
      <c r="E88" s="20">
        <v>48.04</v>
      </c>
      <c r="F88" s="80">
        <f t="shared" si="11"/>
        <v>-48.04</v>
      </c>
      <c r="G88" s="41" t="str">
        <f>VLOOKUP(A88,'Hesap Planı'!B:D,3,0)</f>
        <v>PO</v>
      </c>
    </row>
    <row r="89" spans="1:7">
      <c r="A89" s="75" t="str">
        <f t="shared" ref="A89:A119" si="15">LEFT(B89,3)</f>
        <v>360</v>
      </c>
      <c r="B89" s="19" t="s">
        <v>294</v>
      </c>
      <c r="C89" s="18" t="s">
        <v>295</v>
      </c>
      <c r="D89" s="20">
        <v>0</v>
      </c>
      <c r="E89" s="20">
        <v>415241.58</v>
      </c>
      <c r="F89" s="80">
        <f t="shared" si="11"/>
        <v>-415241.58</v>
      </c>
      <c r="G89" s="41" t="str">
        <f>VLOOKUP(A89,'Hesap Planı'!B:D,3,0)</f>
        <v>P</v>
      </c>
    </row>
    <row r="90" spans="1:7">
      <c r="A90" s="75" t="str">
        <f t="shared" si="15"/>
        <v>360</v>
      </c>
      <c r="B90" s="19" t="s">
        <v>296</v>
      </c>
      <c r="C90" s="18" t="s">
        <v>297</v>
      </c>
      <c r="D90" s="20">
        <v>0</v>
      </c>
      <c r="E90" s="20">
        <v>17623.41</v>
      </c>
      <c r="F90" s="80">
        <f t="shared" si="11"/>
        <v>-17623.41</v>
      </c>
      <c r="G90" s="41" t="str">
        <f>VLOOKUP(A90,'Hesap Planı'!B:D,3,0)</f>
        <v>P</v>
      </c>
    </row>
    <row r="91" spans="1:7">
      <c r="A91" s="75" t="str">
        <f t="shared" si="15"/>
        <v>360</v>
      </c>
      <c r="B91" s="19" t="s">
        <v>298</v>
      </c>
      <c r="C91" s="18" t="s">
        <v>299</v>
      </c>
      <c r="D91" s="20">
        <v>0</v>
      </c>
      <c r="E91" s="20">
        <v>10714.19</v>
      </c>
      <c r="F91" s="80">
        <f t="shared" si="11"/>
        <v>-10714.19</v>
      </c>
      <c r="G91" s="41" t="str">
        <f>VLOOKUP(A91,'Hesap Planı'!B:D,3,0)</f>
        <v>P</v>
      </c>
    </row>
    <row r="92" spans="1:7">
      <c r="A92" s="75" t="str">
        <f t="shared" si="15"/>
        <v>360</v>
      </c>
      <c r="B92" s="19" t="s">
        <v>300</v>
      </c>
      <c r="C92" s="18" t="s">
        <v>301</v>
      </c>
      <c r="D92" s="20">
        <v>0</v>
      </c>
      <c r="E92" s="20">
        <v>7254.19</v>
      </c>
      <c r="F92" s="80">
        <f t="shared" si="11"/>
        <v>-7254.19</v>
      </c>
      <c r="G92" s="41" t="str">
        <f>VLOOKUP(A92,'Hesap Planı'!B:D,3,0)</f>
        <v>P</v>
      </c>
    </row>
    <row r="93" spans="1:7">
      <c r="A93" s="75" t="str">
        <f t="shared" si="15"/>
        <v>360</v>
      </c>
      <c r="B93" s="19" t="s">
        <v>302</v>
      </c>
      <c r="C93" s="18" t="s">
        <v>303</v>
      </c>
      <c r="D93" s="20">
        <v>0</v>
      </c>
      <c r="E93" s="20">
        <v>375</v>
      </c>
      <c r="F93" s="80">
        <f t="shared" si="11"/>
        <v>-375</v>
      </c>
      <c r="G93" s="41" t="str">
        <f>VLOOKUP(A93,'Hesap Planı'!B:D,3,0)</f>
        <v>P</v>
      </c>
    </row>
    <row r="94" spans="1:7">
      <c r="A94" s="75" t="str">
        <f t="shared" si="15"/>
        <v>360</v>
      </c>
      <c r="B94" s="19" t="s">
        <v>304</v>
      </c>
      <c r="C94" s="18" t="s">
        <v>305</v>
      </c>
      <c r="D94" s="20">
        <v>0</v>
      </c>
      <c r="E94" s="20">
        <v>2648.42</v>
      </c>
      <c r="F94" s="80">
        <f t="shared" si="11"/>
        <v>-2648.42</v>
      </c>
      <c r="G94" s="41" t="str">
        <f>VLOOKUP(A94,'Hesap Planı'!B:D,3,0)</f>
        <v>P</v>
      </c>
    </row>
    <row r="95" spans="1:7">
      <c r="A95" s="75" t="str">
        <f t="shared" si="15"/>
        <v>360</v>
      </c>
      <c r="B95" s="19" t="s">
        <v>306</v>
      </c>
      <c r="C95" s="18" t="s">
        <v>307</v>
      </c>
      <c r="D95" s="20">
        <v>0</v>
      </c>
      <c r="E95" s="20">
        <v>1334.67</v>
      </c>
      <c r="F95" s="80">
        <f t="shared" si="11"/>
        <v>-1334.67</v>
      </c>
      <c r="G95" s="41" t="str">
        <f>VLOOKUP(A95,'Hesap Planı'!B:D,3,0)</f>
        <v>P</v>
      </c>
    </row>
    <row r="96" spans="1:7">
      <c r="A96" s="75" t="str">
        <f t="shared" si="15"/>
        <v>360</v>
      </c>
      <c r="B96" s="19" t="s">
        <v>308</v>
      </c>
      <c r="C96" s="18" t="s">
        <v>309</v>
      </c>
      <c r="D96" s="20">
        <v>0</v>
      </c>
      <c r="E96" s="20">
        <v>15297.5</v>
      </c>
      <c r="F96" s="80">
        <f t="shared" si="11"/>
        <v>-15297.5</v>
      </c>
      <c r="G96" s="41" t="str">
        <f>VLOOKUP(A96,'Hesap Planı'!B:D,3,0)</f>
        <v>P</v>
      </c>
    </row>
    <row r="97" spans="1:7">
      <c r="A97" s="75" t="str">
        <f t="shared" si="15"/>
        <v>360</v>
      </c>
      <c r="B97" s="19" t="s">
        <v>310</v>
      </c>
      <c r="C97" s="18" t="s">
        <v>311</v>
      </c>
      <c r="D97" s="20">
        <v>0</v>
      </c>
      <c r="E97" s="20">
        <v>52.36</v>
      </c>
      <c r="F97" s="80">
        <f t="shared" si="11"/>
        <v>-52.36</v>
      </c>
      <c r="G97" s="41" t="str">
        <f>VLOOKUP(A97,'Hesap Planı'!B:D,3,0)</f>
        <v>P</v>
      </c>
    </row>
    <row r="98" spans="1:7">
      <c r="A98" s="75" t="str">
        <f t="shared" si="15"/>
        <v>360</v>
      </c>
      <c r="B98" s="19" t="s">
        <v>312</v>
      </c>
      <c r="C98" s="18" t="s">
        <v>313</v>
      </c>
      <c r="D98" s="20">
        <v>0</v>
      </c>
      <c r="E98" s="20">
        <v>601774.86</v>
      </c>
      <c r="F98" s="80">
        <f t="shared" si="11"/>
        <v>-601774.86</v>
      </c>
      <c r="G98" s="41" t="str">
        <f>VLOOKUP(A98,'Hesap Planı'!B:D,3,0)</f>
        <v>P</v>
      </c>
    </row>
    <row r="99" spans="1:7">
      <c r="A99" s="75" t="str">
        <f t="shared" si="15"/>
        <v>360</v>
      </c>
      <c r="B99" s="19" t="s">
        <v>315</v>
      </c>
      <c r="C99" s="18" t="s">
        <v>314</v>
      </c>
      <c r="D99" s="20">
        <v>0</v>
      </c>
      <c r="E99" s="20">
        <v>137.76</v>
      </c>
      <c r="F99" s="80">
        <f t="shared" si="11"/>
        <v>-137.76</v>
      </c>
      <c r="G99" s="41" t="str">
        <f>VLOOKUP(A99,'Hesap Planı'!B:D,3,0)</f>
        <v>P</v>
      </c>
    </row>
    <row r="100" spans="1:7">
      <c r="A100" s="75" t="str">
        <f t="shared" si="15"/>
        <v>360</v>
      </c>
      <c r="B100" s="19" t="s">
        <v>316</v>
      </c>
      <c r="C100" s="18" t="s">
        <v>317</v>
      </c>
      <c r="D100" s="20">
        <v>0</v>
      </c>
      <c r="E100" s="20">
        <v>372988.09</v>
      </c>
      <c r="F100" s="80">
        <f t="shared" si="11"/>
        <v>-372988.09</v>
      </c>
      <c r="G100" s="41" t="str">
        <f>VLOOKUP(A100,'Hesap Planı'!B:D,3,0)</f>
        <v>P</v>
      </c>
    </row>
    <row r="101" spans="1:7">
      <c r="A101" s="75" t="str">
        <f t="shared" si="15"/>
        <v>361</v>
      </c>
      <c r="B101" s="19" t="s">
        <v>318</v>
      </c>
      <c r="C101" s="18" t="s">
        <v>319</v>
      </c>
      <c r="D101" s="20">
        <v>0</v>
      </c>
      <c r="E101" s="20">
        <v>725038.6</v>
      </c>
      <c r="F101" s="80">
        <f t="shared" si="11"/>
        <v>-725038.6</v>
      </c>
      <c r="G101" s="41" t="str">
        <f>VLOOKUP(A101,'Hesap Planı'!B:D,3,0)</f>
        <v>P</v>
      </c>
    </row>
    <row r="102" spans="1:7">
      <c r="A102" s="75" t="str">
        <f t="shared" si="15"/>
        <v>361</v>
      </c>
      <c r="B102" s="19" t="s">
        <v>320</v>
      </c>
      <c r="C102" s="18" t="s">
        <v>321</v>
      </c>
      <c r="D102" s="20">
        <v>0</v>
      </c>
      <c r="E102" s="20">
        <v>75049.429999999993</v>
      </c>
      <c r="F102" s="80">
        <f t="shared" si="11"/>
        <v>-75049.429999999993</v>
      </c>
      <c r="G102" s="41" t="str">
        <f>VLOOKUP(A102,'Hesap Planı'!B:D,3,0)</f>
        <v>P</v>
      </c>
    </row>
    <row r="103" spans="1:7">
      <c r="A103" s="75" t="str">
        <f t="shared" si="15"/>
        <v>361</v>
      </c>
      <c r="B103" s="19" t="s">
        <v>322</v>
      </c>
      <c r="C103" s="18" t="s">
        <v>323</v>
      </c>
      <c r="D103" s="20">
        <v>0</v>
      </c>
      <c r="E103" s="20">
        <v>40514.769999999997</v>
      </c>
      <c r="F103" s="80">
        <f t="shared" si="11"/>
        <v>-40514.769999999997</v>
      </c>
      <c r="G103" s="41" t="str">
        <f>VLOOKUP(A103,'Hesap Planı'!B:D,3,0)</f>
        <v>P</v>
      </c>
    </row>
    <row r="104" spans="1:7">
      <c r="A104" s="75" t="str">
        <f t="shared" si="15"/>
        <v>370</v>
      </c>
      <c r="B104" s="19" t="s">
        <v>324</v>
      </c>
      <c r="C104" s="18" t="s">
        <v>325</v>
      </c>
      <c r="D104" s="20">
        <v>0</v>
      </c>
      <c r="E104" s="20">
        <v>154525.62</v>
      </c>
      <c r="F104" s="80">
        <f t="shared" si="11"/>
        <v>-154525.62</v>
      </c>
      <c r="G104" s="41" t="str">
        <f>VLOOKUP(A104,'Hesap Planı'!B:D,3,0)</f>
        <v>P</v>
      </c>
    </row>
    <row r="105" spans="1:7">
      <c r="A105" s="75" t="str">
        <f t="shared" si="15"/>
        <v>371</v>
      </c>
      <c r="B105" s="19" t="s">
        <v>326</v>
      </c>
      <c r="C105" s="18" t="s">
        <v>327</v>
      </c>
      <c r="D105" s="20">
        <v>33394.660000000003</v>
      </c>
      <c r="E105" s="20">
        <v>0</v>
      </c>
      <c r="F105" s="80">
        <f t="shared" si="11"/>
        <v>33394.660000000003</v>
      </c>
      <c r="G105" s="41" t="str">
        <f>VLOOKUP(A105,'Hesap Planı'!B:D,3,0)</f>
        <v>P</v>
      </c>
    </row>
    <row r="106" spans="1:7">
      <c r="A106" s="75" t="str">
        <f t="shared" si="15"/>
        <v>380</v>
      </c>
      <c r="B106" s="19" t="s">
        <v>328</v>
      </c>
      <c r="C106" s="18" t="s">
        <v>602</v>
      </c>
      <c r="D106" s="20">
        <v>0</v>
      </c>
      <c r="E106" s="20">
        <v>553441.68000000005</v>
      </c>
      <c r="F106" s="80">
        <f t="shared" si="11"/>
        <v>-553441.68000000005</v>
      </c>
      <c r="G106" s="41" t="str">
        <f>VLOOKUP(A106,'Hesap Planı'!B:D,3,0)</f>
        <v>PO</v>
      </c>
    </row>
    <row r="107" spans="1:7">
      <c r="A107" s="75" t="str">
        <f t="shared" si="15"/>
        <v>380</v>
      </c>
      <c r="B107" s="19" t="s">
        <v>329</v>
      </c>
      <c r="C107" s="18" t="s">
        <v>239</v>
      </c>
      <c r="D107" s="20">
        <v>0</v>
      </c>
      <c r="E107" s="20">
        <v>9262.74</v>
      </c>
      <c r="F107" s="80">
        <f t="shared" si="11"/>
        <v>-9262.74</v>
      </c>
      <c r="G107" s="41" t="str">
        <f>VLOOKUP(A107,'Hesap Planı'!B:D,3,0)</f>
        <v>PO</v>
      </c>
    </row>
    <row r="108" spans="1:7">
      <c r="A108" s="75" t="str">
        <f t="shared" si="15"/>
        <v>380</v>
      </c>
      <c r="B108" s="19" t="s">
        <v>330</v>
      </c>
      <c r="C108" s="18" t="s">
        <v>240</v>
      </c>
      <c r="D108" s="20">
        <v>0</v>
      </c>
      <c r="E108" s="20">
        <v>63255.63</v>
      </c>
      <c r="F108" s="80">
        <f t="shared" si="11"/>
        <v>-63255.63</v>
      </c>
      <c r="G108" s="41" t="str">
        <f>VLOOKUP(A108,'Hesap Planı'!B:D,3,0)</f>
        <v>PO</v>
      </c>
    </row>
    <row r="109" spans="1:7">
      <c r="A109" s="75" t="str">
        <f t="shared" si="15"/>
        <v>381</v>
      </c>
      <c r="B109" s="19" t="s">
        <v>331</v>
      </c>
      <c r="C109" s="18" t="s">
        <v>332</v>
      </c>
      <c r="D109" s="20">
        <v>0</v>
      </c>
      <c r="E109" s="20">
        <v>17314.34</v>
      </c>
      <c r="F109" s="80">
        <f t="shared" si="11"/>
        <v>-17314.34</v>
      </c>
      <c r="G109" s="41" t="str">
        <f>VLOOKUP(A109,'Hesap Planı'!B:D,3,0)</f>
        <v>P</v>
      </c>
    </row>
    <row r="110" spans="1:7">
      <c r="A110" s="75" t="str">
        <f t="shared" si="15"/>
        <v>381</v>
      </c>
      <c r="B110" s="19" t="s">
        <v>333</v>
      </c>
      <c r="C110" s="18" t="s">
        <v>603</v>
      </c>
      <c r="D110" s="20">
        <v>0</v>
      </c>
      <c r="E110" s="20">
        <v>1037778.19</v>
      </c>
      <c r="F110" s="80">
        <f t="shared" si="11"/>
        <v>-1037778.19</v>
      </c>
      <c r="G110" s="41" t="str">
        <f>VLOOKUP(A110,'Hesap Planı'!B:D,3,0)</f>
        <v>P</v>
      </c>
    </row>
    <row r="111" spans="1:7">
      <c r="A111" s="75" t="str">
        <f t="shared" si="15"/>
        <v>381</v>
      </c>
      <c r="B111" s="19" t="s">
        <v>334</v>
      </c>
      <c r="C111" s="18" t="s">
        <v>335</v>
      </c>
      <c r="D111" s="20">
        <v>0</v>
      </c>
      <c r="E111" s="20">
        <v>6325.24</v>
      </c>
      <c r="F111" s="80">
        <f t="shared" si="11"/>
        <v>-6325.24</v>
      </c>
      <c r="G111" s="41" t="str">
        <f>VLOOKUP(A111,'Hesap Planı'!B:D,3,0)</f>
        <v>P</v>
      </c>
    </row>
    <row r="112" spans="1:7">
      <c r="A112" s="75" t="str">
        <f t="shared" si="15"/>
        <v>381</v>
      </c>
      <c r="B112" s="19" t="s">
        <v>336</v>
      </c>
      <c r="C112" s="18" t="s">
        <v>337</v>
      </c>
      <c r="D112" s="20">
        <v>0</v>
      </c>
      <c r="E112" s="20">
        <v>141054.63</v>
      </c>
      <c r="F112" s="80">
        <f t="shared" si="11"/>
        <v>-141054.63</v>
      </c>
      <c r="G112" s="41" t="str">
        <f>VLOOKUP(A112,'Hesap Planı'!B:D,3,0)</f>
        <v>P</v>
      </c>
    </row>
    <row r="113" spans="1:7">
      <c r="A113" s="75" t="str">
        <f t="shared" si="15"/>
        <v>381</v>
      </c>
      <c r="B113" s="19" t="s">
        <v>338</v>
      </c>
      <c r="C113" s="18" t="s">
        <v>339</v>
      </c>
      <c r="D113" s="20">
        <v>0</v>
      </c>
      <c r="E113" s="20">
        <v>50987.28</v>
      </c>
      <c r="F113" s="80">
        <f t="shared" si="11"/>
        <v>-50987.28</v>
      </c>
      <c r="G113" s="41" t="str">
        <f>VLOOKUP(A113,'Hesap Planı'!B:D,3,0)</f>
        <v>P</v>
      </c>
    </row>
    <row r="114" spans="1:7">
      <c r="A114" s="75" t="str">
        <f t="shared" si="15"/>
        <v>381</v>
      </c>
      <c r="B114" s="19" t="s">
        <v>340</v>
      </c>
      <c r="C114" s="18" t="s">
        <v>341</v>
      </c>
      <c r="D114" s="20">
        <v>0</v>
      </c>
      <c r="E114" s="20">
        <v>20000</v>
      </c>
      <c r="F114" s="80">
        <f t="shared" si="11"/>
        <v>-20000</v>
      </c>
      <c r="G114" s="41" t="str">
        <f>VLOOKUP(A114,'Hesap Planı'!B:D,3,0)</f>
        <v>P</v>
      </c>
    </row>
    <row r="115" spans="1:7">
      <c r="A115" s="75" t="str">
        <f t="shared" si="15"/>
        <v>392</v>
      </c>
      <c r="B115" s="19" t="s">
        <v>344</v>
      </c>
      <c r="C115" s="18" t="s">
        <v>342</v>
      </c>
      <c r="D115" s="20">
        <v>0</v>
      </c>
      <c r="E115" s="20">
        <v>1113317.1299999999</v>
      </c>
      <c r="F115" s="80">
        <f t="shared" si="11"/>
        <v>-1113317.1299999999</v>
      </c>
      <c r="G115" s="41" t="str">
        <f>VLOOKUP(A115,'Hesap Planı'!B:D,3,0)</f>
        <v>P</v>
      </c>
    </row>
    <row r="116" spans="1:7">
      <c r="A116" s="75" t="str">
        <f t="shared" si="15"/>
        <v>392</v>
      </c>
      <c r="B116" s="19" t="s">
        <v>345</v>
      </c>
      <c r="C116" s="18" t="s">
        <v>343</v>
      </c>
      <c r="D116" s="20">
        <v>0</v>
      </c>
      <c r="E116" s="20">
        <v>1621738.03</v>
      </c>
      <c r="F116" s="80">
        <f t="shared" si="11"/>
        <v>-1621738.03</v>
      </c>
      <c r="G116" s="41" t="str">
        <f>VLOOKUP(A116,'Hesap Planı'!B:D,3,0)</f>
        <v>P</v>
      </c>
    </row>
    <row r="117" spans="1:7">
      <c r="A117" s="75" t="str">
        <f t="shared" si="15"/>
        <v>400</v>
      </c>
      <c r="B117" s="19" t="s">
        <v>346</v>
      </c>
      <c r="C117" s="18" t="s">
        <v>347</v>
      </c>
      <c r="D117" s="20">
        <v>0</v>
      </c>
      <c r="E117" s="20">
        <v>139912.49</v>
      </c>
      <c r="F117" s="80">
        <f t="shared" si="11"/>
        <v>-139912.49</v>
      </c>
      <c r="G117" s="41" t="str">
        <f>VLOOKUP(A117,'Hesap Planı'!B:D,3,0)</f>
        <v>P</v>
      </c>
    </row>
    <row r="118" spans="1:7">
      <c r="A118" s="75" t="str">
        <f t="shared" si="15"/>
        <v>400</v>
      </c>
      <c r="B118" s="19" t="s">
        <v>348</v>
      </c>
      <c r="C118" s="18" t="s">
        <v>349</v>
      </c>
      <c r="D118" s="20">
        <v>0</v>
      </c>
      <c r="E118" s="20">
        <v>169271.48</v>
      </c>
      <c r="F118" s="80">
        <f t="shared" si="11"/>
        <v>-169271.48</v>
      </c>
      <c r="G118" s="41" t="str">
        <f>VLOOKUP(A118,'Hesap Planı'!B:D,3,0)</f>
        <v>P</v>
      </c>
    </row>
    <row r="119" spans="1:7">
      <c r="A119" s="75" t="str">
        <f t="shared" si="15"/>
        <v>400</v>
      </c>
      <c r="B119" s="19" t="s">
        <v>350</v>
      </c>
      <c r="C119" s="18" t="s">
        <v>351</v>
      </c>
      <c r="D119" s="20">
        <v>0</v>
      </c>
      <c r="E119" s="20">
        <v>204791.12</v>
      </c>
      <c r="F119" s="80">
        <f t="shared" si="11"/>
        <v>-204791.12</v>
      </c>
      <c r="G119" s="41" t="str">
        <f>VLOOKUP(A119,'Hesap Planı'!B:D,3,0)</f>
        <v>P</v>
      </c>
    </row>
    <row r="120" spans="1:7">
      <c r="A120" s="75" t="str">
        <f t="shared" ref="A120:A124" si="16">LEFT(B120,3)</f>
        <v>480</v>
      </c>
      <c r="B120" s="19" t="s">
        <v>352</v>
      </c>
      <c r="C120" s="18" t="s">
        <v>353</v>
      </c>
      <c r="D120" s="20">
        <v>0</v>
      </c>
      <c r="E120" s="20">
        <v>553441.68000000005</v>
      </c>
      <c r="F120" s="80">
        <f t="shared" si="11"/>
        <v>-553441.68000000005</v>
      </c>
      <c r="G120" s="41" t="str">
        <f>VLOOKUP(A120,'Hesap Planı'!B:D,3,0)</f>
        <v>PO</v>
      </c>
    </row>
    <row r="121" spans="1:7">
      <c r="A121" s="75" t="str">
        <f t="shared" si="16"/>
        <v>480</v>
      </c>
      <c r="B121" s="19" t="s">
        <v>354</v>
      </c>
      <c r="C121" s="18" t="s">
        <v>355</v>
      </c>
      <c r="D121" s="20">
        <v>0</v>
      </c>
      <c r="E121" s="20">
        <v>368961.12</v>
      </c>
      <c r="F121" s="80">
        <f t="shared" si="11"/>
        <v>-368961.12</v>
      </c>
      <c r="G121" s="41" t="str">
        <f>VLOOKUP(A121,'Hesap Planı'!B:D,3,0)</f>
        <v>PO</v>
      </c>
    </row>
    <row r="122" spans="1:7">
      <c r="A122" s="75" t="str">
        <f t="shared" si="16"/>
        <v>500</v>
      </c>
      <c r="B122" s="19" t="s">
        <v>175</v>
      </c>
      <c r="C122" s="18" t="s">
        <v>566</v>
      </c>
      <c r="D122" s="20">
        <v>0</v>
      </c>
      <c r="E122" s="20">
        <v>720000</v>
      </c>
      <c r="F122" s="80">
        <f t="shared" si="11"/>
        <v>-720000</v>
      </c>
      <c r="G122" s="41" t="str">
        <f>VLOOKUP(A122,'Hesap Planı'!B:D,3,0)</f>
        <v>PO</v>
      </c>
    </row>
    <row r="123" spans="1:7">
      <c r="A123" s="75" t="str">
        <f t="shared" si="16"/>
        <v>500</v>
      </c>
      <c r="B123" s="19" t="s">
        <v>356</v>
      </c>
      <c r="C123" s="18" t="s">
        <v>567</v>
      </c>
      <c r="D123" s="20">
        <v>0</v>
      </c>
      <c r="E123" s="20">
        <v>1125000</v>
      </c>
      <c r="F123" s="80">
        <f t="shared" si="11"/>
        <v>-1125000</v>
      </c>
      <c r="G123" s="41" t="str">
        <f>VLOOKUP(A123,'Hesap Planı'!B:D,3,0)</f>
        <v>PO</v>
      </c>
    </row>
    <row r="124" spans="1:7">
      <c r="A124" s="75" t="str">
        <f t="shared" si="16"/>
        <v>500</v>
      </c>
      <c r="B124" s="19" t="s">
        <v>357</v>
      </c>
      <c r="C124" s="18" t="s">
        <v>568</v>
      </c>
      <c r="D124" s="20">
        <v>0</v>
      </c>
      <c r="E124" s="20">
        <v>1125000</v>
      </c>
      <c r="F124" s="80">
        <f t="shared" si="11"/>
        <v>-1125000</v>
      </c>
      <c r="G124" s="41" t="str">
        <f>VLOOKUP(A124,'Hesap Planı'!B:D,3,0)</f>
        <v>PO</v>
      </c>
    </row>
    <row r="125" spans="1:7">
      <c r="A125" s="75" t="str">
        <f t="shared" ref="A125:A131" si="17">LEFT(B125,3)</f>
        <v>529</v>
      </c>
      <c r="B125" s="19" t="s">
        <v>358</v>
      </c>
      <c r="C125" s="18" t="s">
        <v>359</v>
      </c>
      <c r="D125" s="20">
        <v>0</v>
      </c>
      <c r="E125" s="20">
        <v>485100</v>
      </c>
      <c r="F125" s="80">
        <f t="shared" si="11"/>
        <v>-485100</v>
      </c>
      <c r="G125" s="41" t="str">
        <f>VLOOKUP(A125,'Hesap Planı'!B:D,3,0)</f>
        <v>PO</v>
      </c>
    </row>
    <row r="126" spans="1:7">
      <c r="A126" s="75" t="str">
        <f t="shared" si="17"/>
        <v>540</v>
      </c>
      <c r="B126" s="19" t="s">
        <v>360</v>
      </c>
      <c r="C126" s="18" t="s">
        <v>361</v>
      </c>
      <c r="D126" s="20">
        <v>0</v>
      </c>
      <c r="E126" s="20">
        <v>583487.71</v>
      </c>
      <c r="F126" s="80">
        <f t="shared" si="11"/>
        <v>-583487.71</v>
      </c>
      <c r="G126" s="41" t="str">
        <f>VLOOKUP(A126,'Hesap Planı'!B:D,3,0)</f>
        <v>PO</v>
      </c>
    </row>
    <row r="127" spans="1:7">
      <c r="A127" s="75" t="str">
        <f t="shared" si="17"/>
        <v>540</v>
      </c>
      <c r="B127" s="19" t="s">
        <v>362</v>
      </c>
      <c r="C127" s="18" t="s">
        <v>363</v>
      </c>
      <c r="D127" s="20">
        <v>0</v>
      </c>
      <c r="E127" s="20">
        <v>181534.38</v>
      </c>
      <c r="F127" s="80">
        <f t="shared" si="11"/>
        <v>-181534.38</v>
      </c>
      <c r="G127" s="41" t="str">
        <f>VLOOKUP(A127,'Hesap Planı'!B:D,3,0)</f>
        <v>PO</v>
      </c>
    </row>
    <row r="128" spans="1:7">
      <c r="A128" s="75" t="str">
        <f t="shared" si="17"/>
        <v>570</v>
      </c>
      <c r="B128" s="19" t="s">
        <v>604</v>
      </c>
      <c r="C128" s="18" t="s">
        <v>738</v>
      </c>
      <c r="D128" s="20">
        <v>0</v>
      </c>
      <c r="E128" s="20">
        <v>34923653.850000001</v>
      </c>
      <c r="F128" s="80">
        <f t="shared" si="11"/>
        <v>-34923653.850000001</v>
      </c>
      <c r="G128" s="41" t="str">
        <f>VLOOKUP(A128,'Hesap Planı'!B:D,3,0)</f>
        <v>PO</v>
      </c>
    </row>
    <row r="129" spans="1:7">
      <c r="A129" s="75" t="str">
        <f t="shared" si="17"/>
        <v>590</v>
      </c>
      <c r="B129" s="19" t="s">
        <v>365</v>
      </c>
      <c r="C129" s="18" t="s">
        <v>364</v>
      </c>
      <c r="D129" s="20">
        <v>0</v>
      </c>
      <c r="E129" s="20">
        <v>4741064</v>
      </c>
      <c r="F129" s="80">
        <f t="shared" ref="F129:F133" si="18">+D129-E129</f>
        <v>-4741064</v>
      </c>
      <c r="G129" s="41" t="str">
        <f>VLOOKUP(A129,'Hesap Planı'!B:D,3,0)</f>
        <v>PO</v>
      </c>
    </row>
    <row r="130" spans="1:7">
      <c r="A130" s="75" t="str">
        <f t="shared" si="17"/>
        <v>900</v>
      </c>
      <c r="B130" s="19" t="s">
        <v>722</v>
      </c>
      <c r="C130" s="18" t="s">
        <v>723</v>
      </c>
      <c r="D130" s="20">
        <v>55000</v>
      </c>
      <c r="F130" s="80">
        <f t="shared" si="18"/>
        <v>55000</v>
      </c>
      <c r="G130" s="41" t="e">
        <f>VLOOKUP(A130,'Hesap Planı'!B:D,3,0)</f>
        <v>#N/A</v>
      </c>
    </row>
    <row r="131" spans="1:7">
      <c r="A131" s="75" t="str">
        <f t="shared" si="17"/>
        <v>901</v>
      </c>
      <c r="B131" s="19" t="s">
        <v>725</v>
      </c>
      <c r="C131" s="18" t="s">
        <v>724</v>
      </c>
      <c r="E131" s="20">
        <v>55000</v>
      </c>
      <c r="F131" s="80">
        <f t="shared" si="18"/>
        <v>-55000</v>
      </c>
      <c r="G131" s="41" t="e">
        <f>VLOOKUP(A131,'Hesap Planı'!B:D,3,0)</f>
        <v>#N/A</v>
      </c>
    </row>
    <row r="132" spans="1:7" s="21" customFormat="1">
      <c r="A132" s="124"/>
      <c r="D132" s="22">
        <f>SUM(D4:D131)</f>
        <v>244688393.57999995</v>
      </c>
      <c r="E132" s="22">
        <f>SUM(E4:E131)</f>
        <v>244688393.58000001</v>
      </c>
      <c r="F132" s="80">
        <f t="shared" si="18"/>
        <v>0</v>
      </c>
      <c r="G132" s="42"/>
    </row>
    <row r="133" spans="1:7" s="21" customFormat="1">
      <c r="A133" s="124"/>
      <c r="D133" s="22"/>
      <c r="E133" s="22">
        <f>+D132-E132</f>
        <v>0</v>
      </c>
      <c r="F133" s="80">
        <f t="shared" si="18"/>
        <v>0</v>
      </c>
      <c r="G133" s="42"/>
    </row>
  </sheetData>
  <sheetProtection password="DFF0" sheet="1" formatCells="0" formatColumns="0" formatRows="0" insertColumns="0" insertRows="0" insertHyperlinks="0" deleteColumns="0" deleteRows="0" sort="0" autoFilter="0" pivotTables="0"/>
  <autoFilter ref="A3:G133"/>
  <hyperlinks>
    <hyperlink ref="E2" r:id="rId1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7"/>
  <sheetViews>
    <sheetView workbookViewId="0">
      <selection activeCell="F23" sqref="F23"/>
    </sheetView>
  </sheetViews>
  <sheetFormatPr defaultColWidth="9" defaultRowHeight="14.25"/>
  <cols>
    <col min="1" max="1" width="2.86328125" style="17" customWidth="1"/>
    <col min="2" max="2" width="6.33203125" style="64" customWidth="1"/>
    <col min="3" max="3" width="11.53125" style="17" customWidth="1"/>
    <col min="4" max="4" width="16" style="17" customWidth="1"/>
    <col min="5" max="5" width="13.46484375" style="6" customWidth="1"/>
    <col min="6" max="6" width="8.86328125" style="17" customWidth="1"/>
    <col min="7" max="7" width="12.46484375" style="64" bestFit="1" customWidth="1"/>
    <col min="8" max="8" width="12.53125" style="16" customWidth="1"/>
    <col min="9" max="9" width="13.1328125" style="63" bestFit="1" customWidth="1"/>
    <col min="10" max="10" width="12.53125" style="64" customWidth="1"/>
    <col min="11" max="11" width="13.1328125" style="64" bestFit="1" customWidth="1"/>
    <col min="12" max="12" width="9.53125" style="64" bestFit="1" customWidth="1"/>
    <col min="13" max="13" width="13.46484375" style="64" customWidth="1"/>
    <col min="14" max="14" width="13.6640625" style="64" customWidth="1"/>
    <col min="15" max="15" width="12" style="64" customWidth="1"/>
    <col min="16" max="16" width="12.6640625" style="24" customWidth="1"/>
    <col min="17" max="16384" width="9" style="17"/>
  </cols>
  <sheetData>
    <row r="1" spans="2:16" s="10" customFormat="1">
      <c r="B1" s="55"/>
      <c r="E1" s="23"/>
      <c r="F1" s="23"/>
      <c r="G1" s="145"/>
      <c r="I1" s="55"/>
      <c r="J1" s="54"/>
      <c r="K1" s="54"/>
      <c r="L1" s="55"/>
      <c r="M1" s="55"/>
      <c r="N1" s="55"/>
      <c r="O1" s="55"/>
      <c r="P1" s="46" t="s">
        <v>663</v>
      </c>
    </row>
    <row r="2" spans="2:16" s="10" customFormat="1">
      <c r="B2" s="55"/>
      <c r="E2" s="23"/>
      <c r="F2" s="23"/>
      <c r="G2" s="145"/>
      <c r="I2" s="55"/>
      <c r="J2" s="54"/>
      <c r="K2" s="54"/>
      <c r="L2" s="55"/>
      <c r="M2" s="55"/>
      <c r="N2" s="55"/>
      <c r="O2" s="55"/>
      <c r="P2" s="47" t="s">
        <v>662</v>
      </c>
    </row>
    <row r="3" spans="2:16" ht="39.4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156</v>
      </c>
      <c r="G3" s="69" t="s">
        <v>183</v>
      </c>
      <c r="H3" s="2" t="s">
        <v>144</v>
      </c>
      <c r="I3" s="67" t="s">
        <v>153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</row>
    <row r="4" spans="2:16">
      <c r="B4" s="63" t="str">
        <f t="shared" ref="B4" si="0">LEFT(C4,3)</f>
        <v>150</v>
      </c>
      <c r="C4" s="19" t="s">
        <v>217</v>
      </c>
      <c r="D4" s="18" t="s">
        <v>569</v>
      </c>
      <c r="E4" s="20">
        <v>2357000.5</v>
      </c>
      <c r="F4" s="6">
        <v>0</v>
      </c>
      <c r="G4" s="60">
        <f>+E4-F4</f>
        <v>2357000.5</v>
      </c>
      <c r="H4" s="5">
        <v>45437</v>
      </c>
      <c r="I4" s="65">
        <f>'yi-üfe-dikey'!$E$6</f>
        <v>45657</v>
      </c>
      <c r="J4" s="59" t="str">
        <f>IF(H4&lt;='yi-üfe-dikey'!$E$5,'yi-üfe-dikey'!$F$4,YEAR(H4)&amp;TEXT((MONTH(H4)),"00"))</f>
        <v>202409</v>
      </c>
      <c r="K4" s="59" t="str">
        <f t="shared" ref="K4" si="1">YEAR(I4)&amp;TEXT((MONTH(I4)),"00")</f>
        <v>202412</v>
      </c>
      <c r="L4" s="60">
        <f>VLOOKUP(J4,'yi-üfe-dikey'!A:B,2,0)</f>
        <v>3659.84</v>
      </c>
      <c r="M4" s="60">
        <f>VLOOKUP(K4,'yi-üfe-dikey'!A:B,2,0)</f>
        <v>3746.52</v>
      </c>
      <c r="N4" s="61">
        <f t="shared" ref="N4" si="2">ROUND(M4/L4,5)</f>
        <v>1.0236799999999999</v>
      </c>
      <c r="O4" s="62">
        <f>ROUND(G4*N4,2)</f>
        <v>2412814.27</v>
      </c>
      <c r="P4" s="26">
        <f>+O4-E4</f>
        <v>55813.770000000019</v>
      </c>
    </row>
    <row r="5" spans="2:16">
      <c r="B5" s="63" t="str">
        <f t="shared" ref="B5:B6" si="3">LEFT(C5,3)</f>
        <v>150</v>
      </c>
      <c r="C5" s="19" t="s">
        <v>217</v>
      </c>
      <c r="D5" s="18" t="s">
        <v>570</v>
      </c>
      <c r="E5" s="20">
        <v>1000297.75</v>
      </c>
      <c r="F5" s="6">
        <v>0</v>
      </c>
      <c r="G5" s="60">
        <f t="shared" ref="G5:G6" si="4">+E5-F5</f>
        <v>1000297.75</v>
      </c>
      <c r="H5" s="5">
        <v>45519</v>
      </c>
      <c r="I5" s="65">
        <f>'yi-üfe-dikey'!$E$6</f>
        <v>45657</v>
      </c>
      <c r="J5" s="59" t="str">
        <f>IF(H5&lt;='yi-üfe-dikey'!$E$5,'yi-üfe-dikey'!$F$4,YEAR(H5)&amp;TEXT((MONTH(H5)),"00"))</f>
        <v>202409</v>
      </c>
      <c r="K5" s="59" t="str">
        <f t="shared" ref="K5:K6" si="5">YEAR(I5)&amp;TEXT((MONTH(I5)),"00")</f>
        <v>202412</v>
      </c>
      <c r="L5" s="60">
        <f>VLOOKUP(J5,'yi-üfe-dikey'!A:B,2,0)</f>
        <v>3659.84</v>
      </c>
      <c r="M5" s="60">
        <f>VLOOKUP(K5,'yi-üfe-dikey'!A:B,2,0)</f>
        <v>3746.52</v>
      </c>
      <c r="N5" s="61">
        <f t="shared" ref="N5:N6" si="6">ROUND(M5/L5,5)</f>
        <v>1.0236799999999999</v>
      </c>
      <c r="O5" s="62">
        <f>ROUND(G5*N5,2)</f>
        <v>1023984.8</v>
      </c>
      <c r="P5" s="26">
        <f>+O5-E5</f>
        <v>23687.050000000047</v>
      </c>
    </row>
    <row r="6" spans="2:16">
      <c r="B6" s="63" t="str">
        <f t="shared" si="3"/>
        <v>150</v>
      </c>
      <c r="C6" s="19" t="s">
        <v>217</v>
      </c>
      <c r="D6" s="18" t="s">
        <v>571</v>
      </c>
      <c r="E6" s="20">
        <v>525250</v>
      </c>
      <c r="F6" s="6">
        <v>0</v>
      </c>
      <c r="G6" s="60">
        <f t="shared" si="4"/>
        <v>525250</v>
      </c>
      <c r="H6" s="5">
        <v>45566</v>
      </c>
      <c r="I6" s="65">
        <f>'yi-üfe-dikey'!$E$6</f>
        <v>45657</v>
      </c>
      <c r="J6" s="59" t="str">
        <f>IF(H6&lt;='yi-üfe-dikey'!$E$5,'yi-üfe-dikey'!$F$4,YEAR(H6)&amp;TEXT((MONTH(H6)),"00"))</f>
        <v>202410</v>
      </c>
      <c r="K6" s="59" t="str">
        <f t="shared" si="5"/>
        <v>202412</v>
      </c>
      <c r="L6" s="60">
        <f>VLOOKUP(J6,'yi-üfe-dikey'!A:B,2,0)</f>
        <v>3707.1</v>
      </c>
      <c r="M6" s="60">
        <f>VLOOKUP(K6,'yi-üfe-dikey'!A:B,2,0)</f>
        <v>3746.52</v>
      </c>
      <c r="N6" s="61">
        <f t="shared" si="6"/>
        <v>1.0106299999999999</v>
      </c>
      <c r="O6" s="62">
        <f>ROUND(G6*N6,2)</f>
        <v>530833.41</v>
      </c>
      <c r="P6" s="26">
        <f>+O6-E6</f>
        <v>5583.4100000000326</v>
      </c>
    </row>
    <row r="7" spans="2:16" s="15" customFormat="1">
      <c r="B7" s="134"/>
      <c r="E7" s="25">
        <f>SUM(E4:E6)</f>
        <v>3882548.25</v>
      </c>
      <c r="G7" s="70">
        <f>SUM(G4:G6)</f>
        <v>3882548.25</v>
      </c>
      <c r="H7" s="146"/>
      <c r="I7" s="126"/>
      <c r="J7" s="134"/>
      <c r="K7" s="134"/>
      <c r="L7" s="134"/>
      <c r="M7" s="134"/>
      <c r="N7" s="134"/>
      <c r="O7" s="70">
        <f>SUM(O4:O6)</f>
        <v>3967632.4800000004</v>
      </c>
      <c r="P7" s="34">
        <f>SUM(P4:P6)</f>
        <v>85084.230000000098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6"/>
  <hyperlinks>
    <hyperlink ref="P2" r:id="rId1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3"/>
  <sheetViews>
    <sheetView workbookViewId="0">
      <selection activeCell="F12" sqref="F12"/>
    </sheetView>
  </sheetViews>
  <sheetFormatPr defaultColWidth="9" defaultRowHeight="14.25"/>
  <cols>
    <col min="1" max="1" width="2.53125" style="17" customWidth="1"/>
    <col min="2" max="2" width="10.1328125" style="64" customWidth="1"/>
    <col min="3" max="3" width="12.1328125" style="17" customWidth="1"/>
    <col min="4" max="4" width="15.1328125" style="17" customWidth="1"/>
    <col min="5" max="5" width="12.46484375" style="17" customWidth="1"/>
    <col min="6" max="6" width="12.6640625" style="64" customWidth="1"/>
    <col min="7" max="7" width="11.46484375" style="64" customWidth="1"/>
    <col min="8" max="8" width="13.33203125" style="64" customWidth="1"/>
    <col min="9" max="9" width="13.1328125" style="64" customWidth="1"/>
    <col min="10" max="10" width="12.33203125" style="64" customWidth="1"/>
    <col min="11" max="11" width="13.1328125" style="64" customWidth="1"/>
    <col min="12" max="12" width="12" style="64" customWidth="1"/>
    <col min="13" max="13" width="12.53125" style="64" customWidth="1"/>
    <col min="14" max="14" width="14" style="24" bestFit="1" customWidth="1"/>
    <col min="15" max="15" width="11.46484375" style="17" customWidth="1"/>
    <col min="16" max="16" width="13.33203125" style="17" customWidth="1"/>
    <col min="17" max="17" width="11.33203125" style="17" customWidth="1"/>
    <col min="18" max="18" width="9" style="17"/>
    <col min="19" max="19" width="11.33203125" style="17" customWidth="1"/>
    <col min="20" max="20" width="11.86328125" style="17" customWidth="1"/>
    <col min="21" max="16384" width="9" style="17"/>
  </cols>
  <sheetData>
    <row r="1" spans="2:14" s="10" customFormat="1">
      <c r="B1" s="55"/>
      <c r="F1" s="55"/>
      <c r="G1" s="55"/>
      <c r="H1" s="55"/>
      <c r="I1" s="55"/>
      <c r="J1" s="55"/>
      <c r="K1" s="55"/>
      <c r="L1" s="55"/>
      <c r="M1" s="55"/>
      <c r="N1" s="46" t="s">
        <v>663</v>
      </c>
    </row>
    <row r="2" spans="2:14" s="10" customFormat="1">
      <c r="B2" s="55"/>
      <c r="F2" s="55"/>
      <c r="G2" s="55"/>
      <c r="H2" s="55"/>
      <c r="I2" s="55"/>
      <c r="J2" s="55"/>
      <c r="K2" s="55"/>
      <c r="L2" s="55"/>
      <c r="M2" s="55"/>
      <c r="N2" s="47" t="s">
        <v>662</v>
      </c>
    </row>
    <row r="3" spans="2:14">
      <c r="B3" s="82" t="s">
        <v>166</v>
      </c>
      <c r="C3" s="35"/>
      <c r="D3" s="35"/>
      <c r="E3" s="35"/>
      <c r="F3" s="71"/>
      <c r="G3" s="71"/>
      <c r="H3" s="71"/>
      <c r="I3" s="71"/>
      <c r="J3" s="71"/>
      <c r="K3" s="71"/>
      <c r="L3" s="71"/>
      <c r="M3" s="71"/>
      <c r="N3" s="83"/>
    </row>
    <row r="4" spans="2:14" ht="52.5">
      <c r="B4" s="81" t="s">
        <v>143</v>
      </c>
      <c r="C4" s="1" t="s">
        <v>148</v>
      </c>
      <c r="D4" s="1" t="s">
        <v>130</v>
      </c>
      <c r="E4" s="36" t="s">
        <v>183</v>
      </c>
      <c r="F4" s="72" t="s">
        <v>167</v>
      </c>
      <c r="G4" s="72" t="s">
        <v>168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554</v>
      </c>
      <c r="M4" s="56" t="s">
        <v>169</v>
      </c>
      <c r="N4" s="29" t="s">
        <v>155</v>
      </c>
    </row>
    <row r="5" spans="2:14">
      <c r="B5" s="63" t="str">
        <f t="shared" ref="B5:B22" si="0">LEFT(C5,3)</f>
        <v>151</v>
      </c>
      <c r="C5" s="19" t="s">
        <v>218</v>
      </c>
      <c r="D5" s="18" t="s">
        <v>572</v>
      </c>
      <c r="E5" s="20">
        <v>9229381.7400000002</v>
      </c>
      <c r="F5" s="65">
        <f>'yi-üfe-dikey'!$E$7</f>
        <v>45565</v>
      </c>
      <c r="G5" s="65">
        <f>'yi-üfe-dikey'!$E$6</f>
        <v>45657</v>
      </c>
      <c r="H5" s="59" t="str">
        <f>IF(YEAR(F5)&lt;=2004,"200412",YEAR(F5)&amp;TEXT((MONTH(F5)),"00"))</f>
        <v>202409</v>
      </c>
      <c r="I5" s="59" t="str">
        <f>YEAR(G5)&amp;TEXT((MONTH(G5)),"00")</f>
        <v>202412</v>
      </c>
      <c r="J5" s="60">
        <f>VLOOKUP(H5,'yi-üfe-dikey'!A:B,2,0)</f>
        <v>3659.84</v>
      </c>
      <c r="K5" s="60">
        <f>VLOOKUP(I5,'yi-üfe-dikey'!A:B,2,0)</f>
        <v>3746.52</v>
      </c>
      <c r="L5" s="61">
        <f>ROUND(K5/((J5+K5)/2),5)</f>
        <v>1.0117</v>
      </c>
      <c r="M5" s="60">
        <f>ROUND(E5*L5,2)</f>
        <v>9337365.5099999998</v>
      </c>
      <c r="N5" s="31">
        <f>+M5-E5</f>
        <v>107983.76999999955</v>
      </c>
    </row>
    <row r="6" spans="2:14">
      <c r="B6" s="63" t="str">
        <f t="shared" si="0"/>
        <v>151</v>
      </c>
      <c r="C6" s="19" t="s">
        <v>218</v>
      </c>
      <c r="D6" s="18" t="s">
        <v>573</v>
      </c>
      <c r="E6" s="20">
        <v>2532000</v>
      </c>
      <c r="F6" s="65">
        <f>'yi-üfe-dikey'!$E$7</f>
        <v>45565</v>
      </c>
      <c r="G6" s="65">
        <f>'yi-üfe-dikey'!$E$6</f>
        <v>45657</v>
      </c>
      <c r="H6" s="59" t="str">
        <f t="shared" ref="H6:H22" si="1">IF(YEAR(F6)&lt;=2004,"200412",YEAR(F6)&amp;TEXT((MONTH(F6)),"00"))</f>
        <v>202409</v>
      </c>
      <c r="I6" s="59" t="str">
        <f t="shared" ref="I6:I22" si="2">YEAR(G6)&amp;TEXT((MONTH(G6)),"00")</f>
        <v>202412</v>
      </c>
      <c r="J6" s="60">
        <f>VLOOKUP(H6,'yi-üfe-dikey'!A:B,2,0)</f>
        <v>3659.84</v>
      </c>
      <c r="K6" s="60">
        <f>VLOOKUP(I6,'yi-üfe-dikey'!A:B,2,0)</f>
        <v>3746.52</v>
      </c>
      <c r="L6" s="61">
        <f t="shared" ref="L6:L22" si="3">ROUND(K6/((J6+K6)/2),5)</f>
        <v>1.0117</v>
      </c>
      <c r="M6" s="60">
        <f t="shared" ref="M6:M22" si="4">ROUND(E6*L6,2)</f>
        <v>2561624.4</v>
      </c>
      <c r="N6" s="31">
        <f t="shared" ref="N6:N22" si="5">+M6-E6</f>
        <v>29624.399999999907</v>
      </c>
    </row>
    <row r="7" spans="2:14">
      <c r="B7" s="63" t="str">
        <f t="shared" si="0"/>
        <v>151</v>
      </c>
      <c r="C7" s="19" t="s">
        <v>218</v>
      </c>
      <c r="D7" s="18" t="s">
        <v>574</v>
      </c>
      <c r="E7" s="20">
        <v>654000</v>
      </c>
      <c r="F7" s="65">
        <f>'yi-üfe-dikey'!$E$7</f>
        <v>45565</v>
      </c>
      <c r="G7" s="65">
        <f>'yi-üfe-dikey'!$E$6</f>
        <v>45657</v>
      </c>
      <c r="H7" s="59" t="str">
        <f t="shared" si="1"/>
        <v>202409</v>
      </c>
      <c r="I7" s="59" t="str">
        <f t="shared" si="2"/>
        <v>202412</v>
      </c>
      <c r="J7" s="60">
        <f>VLOOKUP(H7,'yi-üfe-dikey'!A:B,2,0)</f>
        <v>3659.84</v>
      </c>
      <c r="K7" s="60">
        <f>VLOOKUP(I7,'yi-üfe-dikey'!A:B,2,0)</f>
        <v>3746.52</v>
      </c>
      <c r="L7" s="61">
        <f t="shared" si="3"/>
        <v>1.0117</v>
      </c>
      <c r="M7" s="60">
        <f t="shared" si="4"/>
        <v>661651.80000000005</v>
      </c>
      <c r="N7" s="31">
        <f t="shared" si="5"/>
        <v>7651.8000000000466</v>
      </c>
    </row>
    <row r="8" spans="2:14">
      <c r="B8" s="63"/>
      <c r="C8" s="19"/>
      <c r="D8" s="18"/>
      <c r="E8" s="22">
        <f>SUM(E5:E7)</f>
        <v>12415381.74</v>
      </c>
      <c r="F8" s="65"/>
      <c r="G8" s="65"/>
      <c r="H8" s="59"/>
      <c r="I8" s="59"/>
      <c r="J8" s="60"/>
      <c r="K8" s="60"/>
      <c r="L8" s="61"/>
      <c r="M8" s="70">
        <f>SUM(M5:M7)</f>
        <v>12560641.710000001</v>
      </c>
      <c r="N8" s="34">
        <f>SUM(N5:N7)</f>
        <v>145259.96999999951</v>
      </c>
    </row>
    <row r="9" spans="2:14">
      <c r="B9" s="63"/>
      <c r="C9" s="19"/>
      <c r="D9" s="18"/>
      <c r="E9" s="20"/>
      <c r="F9" s="65"/>
      <c r="G9" s="65"/>
      <c r="H9" s="59"/>
      <c r="I9" s="59"/>
      <c r="J9" s="60"/>
      <c r="K9" s="60"/>
      <c r="L9" s="61"/>
      <c r="M9" s="60"/>
      <c r="N9" s="31"/>
    </row>
    <row r="10" spans="2:14">
      <c r="B10" s="63" t="str">
        <f t="shared" si="0"/>
        <v>152</v>
      </c>
      <c r="C10" s="19" t="s">
        <v>219</v>
      </c>
      <c r="D10" s="18" t="s">
        <v>575</v>
      </c>
      <c r="E10" s="20">
        <v>2688702.15</v>
      </c>
      <c r="F10" s="65">
        <f>'yi-üfe-dikey'!$E$7</f>
        <v>45565</v>
      </c>
      <c r="G10" s="65">
        <f>'yi-üfe-dikey'!$E$6</f>
        <v>45657</v>
      </c>
      <c r="H10" s="59" t="str">
        <f t="shared" si="1"/>
        <v>202409</v>
      </c>
      <c r="I10" s="59" t="str">
        <f t="shared" si="2"/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si="3"/>
        <v>1.0117</v>
      </c>
      <c r="M10" s="60">
        <f t="shared" si="4"/>
        <v>2720159.97</v>
      </c>
      <c r="N10" s="31">
        <f t="shared" si="5"/>
        <v>31457.820000000298</v>
      </c>
    </row>
    <row r="11" spans="2:14">
      <c r="B11" s="63" t="str">
        <f t="shared" si="0"/>
        <v>152</v>
      </c>
      <c r="C11" s="19" t="s">
        <v>219</v>
      </c>
      <c r="D11" s="18" t="s">
        <v>576</v>
      </c>
      <c r="E11" s="20">
        <v>3012000</v>
      </c>
      <c r="F11" s="65">
        <f>'yi-üfe-dikey'!$E$7</f>
        <v>45565</v>
      </c>
      <c r="G11" s="65">
        <f>'yi-üfe-dikey'!$E$6</f>
        <v>45657</v>
      </c>
      <c r="H11" s="59" t="str">
        <f t="shared" si="1"/>
        <v>202409</v>
      </c>
      <c r="I11" s="59" t="str">
        <f t="shared" si="2"/>
        <v>202412</v>
      </c>
      <c r="J11" s="60">
        <f>VLOOKUP(H11,'yi-üfe-dikey'!A:B,2,0)</f>
        <v>3659.84</v>
      </c>
      <c r="K11" s="60">
        <f>VLOOKUP(I11,'yi-üfe-dikey'!A:B,2,0)</f>
        <v>3746.52</v>
      </c>
      <c r="L11" s="61">
        <f t="shared" si="3"/>
        <v>1.0117</v>
      </c>
      <c r="M11" s="60">
        <f t="shared" si="4"/>
        <v>3047240.4</v>
      </c>
      <c r="N11" s="31">
        <f t="shared" si="5"/>
        <v>35240.399999999907</v>
      </c>
    </row>
    <row r="12" spans="2:14">
      <c r="B12" s="63" t="str">
        <f t="shared" si="0"/>
        <v>152</v>
      </c>
      <c r="C12" s="19" t="s">
        <v>219</v>
      </c>
      <c r="D12" s="18" t="s">
        <v>577</v>
      </c>
      <c r="E12" s="20">
        <v>1650000</v>
      </c>
      <c r="F12" s="65">
        <f>'yi-üfe-dikey'!$E$7</f>
        <v>45565</v>
      </c>
      <c r="G12" s="65">
        <f>'yi-üfe-dikey'!$E$6</f>
        <v>45657</v>
      </c>
      <c r="H12" s="59" t="str">
        <f t="shared" si="1"/>
        <v>202409</v>
      </c>
      <c r="I12" s="59" t="str">
        <f t="shared" si="2"/>
        <v>202412</v>
      </c>
      <c r="J12" s="60">
        <f>VLOOKUP(H12,'yi-üfe-dikey'!A:B,2,0)</f>
        <v>3659.84</v>
      </c>
      <c r="K12" s="60">
        <f>VLOOKUP(I12,'yi-üfe-dikey'!A:B,2,0)</f>
        <v>3746.52</v>
      </c>
      <c r="L12" s="61">
        <f t="shared" si="3"/>
        <v>1.0117</v>
      </c>
      <c r="M12" s="60">
        <f t="shared" si="4"/>
        <v>1669305</v>
      </c>
      <c r="N12" s="31">
        <f t="shared" si="5"/>
        <v>19305</v>
      </c>
    </row>
    <row r="13" spans="2:14">
      <c r="B13" s="63"/>
      <c r="C13" s="19"/>
      <c r="D13" s="18"/>
      <c r="E13" s="22">
        <f>SUM(E10:E12)</f>
        <v>7350702.1500000004</v>
      </c>
      <c r="F13" s="65"/>
      <c r="G13" s="65"/>
      <c r="H13" s="59"/>
      <c r="I13" s="59"/>
      <c r="J13" s="60"/>
      <c r="K13" s="60"/>
      <c r="L13" s="61"/>
      <c r="M13" s="70">
        <f>SUM(M10:M12)</f>
        <v>7436705.3700000001</v>
      </c>
      <c r="N13" s="34">
        <f>SUM(N10:N12)</f>
        <v>86003.220000000205</v>
      </c>
    </row>
    <row r="14" spans="2:14">
      <c r="B14" s="63"/>
      <c r="C14" s="19"/>
      <c r="D14" s="18"/>
      <c r="E14" s="20"/>
      <c r="F14" s="65"/>
      <c r="G14" s="65"/>
      <c r="H14" s="59"/>
      <c r="I14" s="59"/>
      <c r="J14" s="60"/>
      <c r="K14" s="60"/>
      <c r="L14" s="61"/>
      <c r="M14" s="60"/>
      <c r="N14" s="31"/>
    </row>
    <row r="15" spans="2:14">
      <c r="B15" s="63" t="str">
        <f t="shared" si="0"/>
        <v>153</v>
      </c>
      <c r="C15" s="19" t="s">
        <v>220</v>
      </c>
      <c r="D15" s="18" t="s">
        <v>585</v>
      </c>
      <c r="E15" s="20">
        <v>2500</v>
      </c>
      <c r="F15" s="65">
        <f>'yi-üfe-dikey'!$E$7</f>
        <v>45565</v>
      </c>
      <c r="G15" s="65">
        <f>'yi-üfe-dikey'!$E$6</f>
        <v>45657</v>
      </c>
      <c r="H15" s="59" t="str">
        <f t="shared" si="1"/>
        <v>202409</v>
      </c>
      <c r="I15" s="59" t="str">
        <f t="shared" si="2"/>
        <v>202412</v>
      </c>
      <c r="J15" s="60">
        <f>VLOOKUP(H15,'yi-üfe-dikey'!A:B,2,0)</f>
        <v>3659.84</v>
      </c>
      <c r="K15" s="60">
        <f>VLOOKUP(I15,'yi-üfe-dikey'!A:B,2,0)</f>
        <v>3746.52</v>
      </c>
      <c r="L15" s="61">
        <f t="shared" si="3"/>
        <v>1.0117</v>
      </c>
      <c r="M15" s="60">
        <f t="shared" si="4"/>
        <v>2529.25</v>
      </c>
      <c r="N15" s="31">
        <f t="shared" si="5"/>
        <v>29.25</v>
      </c>
    </row>
    <row r="16" spans="2:14">
      <c r="B16" s="63" t="str">
        <f t="shared" si="0"/>
        <v>153</v>
      </c>
      <c r="C16" s="19" t="s">
        <v>221</v>
      </c>
      <c r="D16" s="18" t="s">
        <v>586</v>
      </c>
      <c r="E16" s="20">
        <v>16399.98</v>
      </c>
      <c r="F16" s="65">
        <f>'yi-üfe-dikey'!$E$7</f>
        <v>45565</v>
      </c>
      <c r="G16" s="65">
        <f>'yi-üfe-dikey'!$E$6</f>
        <v>45657</v>
      </c>
      <c r="H16" s="59" t="str">
        <f t="shared" si="1"/>
        <v>202409</v>
      </c>
      <c r="I16" s="59" t="str">
        <f t="shared" si="2"/>
        <v>202412</v>
      </c>
      <c r="J16" s="60">
        <f>VLOOKUP(H16,'yi-üfe-dikey'!A:B,2,0)</f>
        <v>3659.84</v>
      </c>
      <c r="K16" s="60">
        <f>VLOOKUP(I16,'yi-üfe-dikey'!A:B,2,0)</f>
        <v>3746.52</v>
      </c>
      <c r="L16" s="61">
        <f t="shared" si="3"/>
        <v>1.0117</v>
      </c>
      <c r="M16" s="60">
        <f t="shared" si="4"/>
        <v>16591.86</v>
      </c>
      <c r="N16" s="31">
        <f t="shared" si="5"/>
        <v>191.88000000000102</v>
      </c>
    </row>
    <row r="17" spans="2:14">
      <c r="B17" s="63" t="str">
        <f t="shared" si="0"/>
        <v>153</v>
      </c>
      <c r="C17" s="19" t="s">
        <v>222</v>
      </c>
      <c r="D17" s="18" t="s">
        <v>587</v>
      </c>
      <c r="E17" s="20">
        <v>147685.19</v>
      </c>
      <c r="F17" s="65">
        <f>'yi-üfe-dikey'!$E$7</f>
        <v>45565</v>
      </c>
      <c r="G17" s="65">
        <f>'yi-üfe-dikey'!$E$6</f>
        <v>45657</v>
      </c>
      <c r="H17" s="59" t="str">
        <f t="shared" si="1"/>
        <v>202409</v>
      </c>
      <c r="I17" s="59" t="str">
        <f t="shared" si="2"/>
        <v>202412</v>
      </c>
      <c r="J17" s="60">
        <f>VLOOKUP(H17,'yi-üfe-dikey'!A:B,2,0)</f>
        <v>3659.84</v>
      </c>
      <c r="K17" s="60">
        <f>VLOOKUP(I17,'yi-üfe-dikey'!A:B,2,0)</f>
        <v>3746.52</v>
      </c>
      <c r="L17" s="61">
        <f t="shared" si="3"/>
        <v>1.0117</v>
      </c>
      <c r="M17" s="60">
        <f t="shared" si="4"/>
        <v>149413.10999999999</v>
      </c>
      <c r="N17" s="31">
        <f t="shared" si="5"/>
        <v>1727.9199999999837</v>
      </c>
    </row>
    <row r="18" spans="2:14">
      <c r="B18" s="63"/>
      <c r="C18" s="19"/>
      <c r="D18" s="18"/>
      <c r="E18" s="22">
        <f>SUM(E15:E17)</f>
        <v>166585.17000000001</v>
      </c>
      <c r="F18" s="65"/>
      <c r="G18" s="65"/>
      <c r="H18" s="59"/>
      <c r="I18" s="59"/>
      <c r="J18" s="60"/>
      <c r="K18" s="60"/>
      <c r="L18" s="61"/>
      <c r="M18" s="70">
        <f>SUM(M15:M17)</f>
        <v>168534.21999999997</v>
      </c>
      <c r="N18" s="34">
        <f>SUM(N15:N17)</f>
        <v>1949.0499999999847</v>
      </c>
    </row>
    <row r="19" spans="2:14">
      <c r="B19" s="63"/>
      <c r="C19" s="19"/>
      <c r="D19" s="18"/>
      <c r="E19" s="20"/>
      <c r="F19" s="65"/>
      <c r="G19" s="65"/>
      <c r="H19" s="59"/>
      <c r="I19" s="59"/>
      <c r="J19" s="60"/>
      <c r="K19" s="60"/>
      <c r="L19" s="61"/>
      <c r="M19" s="60"/>
      <c r="N19" s="31"/>
    </row>
    <row r="20" spans="2:14">
      <c r="B20" s="63" t="str">
        <f t="shared" si="0"/>
        <v>157</v>
      </c>
      <c r="C20" s="19" t="s">
        <v>223</v>
      </c>
      <c r="D20" s="18" t="s">
        <v>224</v>
      </c>
      <c r="E20" s="20">
        <v>93294.77</v>
      </c>
      <c r="F20" s="65">
        <f>'yi-üfe-dikey'!$E$7</f>
        <v>45565</v>
      </c>
      <c r="G20" s="65">
        <f>'yi-üfe-dikey'!$E$6</f>
        <v>45657</v>
      </c>
      <c r="H20" s="59" t="str">
        <f t="shared" si="1"/>
        <v>202409</v>
      </c>
      <c r="I20" s="59" t="str">
        <f t="shared" si="2"/>
        <v>202412</v>
      </c>
      <c r="J20" s="60">
        <f>VLOOKUP(H20,'yi-üfe-dikey'!A:B,2,0)</f>
        <v>3659.84</v>
      </c>
      <c r="K20" s="60">
        <f>VLOOKUP(I20,'yi-üfe-dikey'!A:B,2,0)</f>
        <v>3746.52</v>
      </c>
      <c r="L20" s="61">
        <f t="shared" si="3"/>
        <v>1.0117</v>
      </c>
      <c r="M20" s="60">
        <f t="shared" si="4"/>
        <v>94386.32</v>
      </c>
      <c r="N20" s="31">
        <f t="shared" si="5"/>
        <v>1091.5500000000029</v>
      </c>
    </row>
    <row r="21" spans="2:14">
      <c r="B21" s="63" t="str">
        <f t="shared" si="0"/>
        <v>157</v>
      </c>
      <c r="C21" s="19" t="s">
        <v>225</v>
      </c>
      <c r="D21" s="18" t="s">
        <v>226</v>
      </c>
      <c r="E21" s="20">
        <v>19779</v>
      </c>
      <c r="F21" s="65">
        <f>'yi-üfe-dikey'!$E$7</f>
        <v>45565</v>
      </c>
      <c r="G21" s="65">
        <f>'yi-üfe-dikey'!$E$6</f>
        <v>45657</v>
      </c>
      <c r="H21" s="59" t="str">
        <f t="shared" si="1"/>
        <v>202409</v>
      </c>
      <c r="I21" s="59" t="str">
        <f t="shared" si="2"/>
        <v>202412</v>
      </c>
      <c r="J21" s="60">
        <f>VLOOKUP(H21,'yi-üfe-dikey'!A:B,2,0)</f>
        <v>3659.84</v>
      </c>
      <c r="K21" s="60">
        <f>VLOOKUP(I21,'yi-üfe-dikey'!A:B,2,0)</f>
        <v>3746.52</v>
      </c>
      <c r="L21" s="61">
        <f t="shared" si="3"/>
        <v>1.0117</v>
      </c>
      <c r="M21" s="60">
        <f t="shared" si="4"/>
        <v>20010.41</v>
      </c>
      <c r="N21" s="31">
        <f t="shared" si="5"/>
        <v>231.40999999999985</v>
      </c>
    </row>
    <row r="22" spans="2:14">
      <c r="B22" s="63" t="str">
        <f t="shared" si="0"/>
        <v>157</v>
      </c>
      <c r="C22" s="19" t="s">
        <v>227</v>
      </c>
      <c r="D22" s="18" t="s">
        <v>588</v>
      </c>
      <c r="E22" s="20">
        <v>2593.5300000000002</v>
      </c>
      <c r="F22" s="65">
        <f>'yi-üfe-dikey'!$E$7</f>
        <v>45565</v>
      </c>
      <c r="G22" s="65">
        <f>'yi-üfe-dikey'!$E$6</f>
        <v>45657</v>
      </c>
      <c r="H22" s="59" t="str">
        <f t="shared" si="1"/>
        <v>202409</v>
      </c>
      <c r="I22" s="59" t="str">
        <f t="shared" si="2"/>
        <v>202412</v>
      </c>
      <c r="J22" s="60">
        <f>VLOOKUP(H22,'yi-üfe-dikey'!A:B,2,0)</f>
        <v>3659.84</v>
      </c>
      <c r="K22" s="60">
        <f>VLOOKUP(I22,'yi-üfe-dikey'!A:B,2,0)</f>
        <v>3746.52</v>
      </c>
      <c r="L22" s="61">
        <f t="shared" si="3"/>
        <v>1.0117</v>
      </c>
      <c r="M22" s="60">
        <f t="shared" si="4"/>
        <v>2623.87</v>
      </c>
      <c r="N22" s="31">
        <f t="shared" si="5"/>
        <v>30.339999999999691</v>
      </c>
    </row>
    <row r="23" spans="2:14">
      <c r="E23" s="22">
        <f>SUM(E20:E22)</f>
        <v>115667.3</v>
      </c>
      <c r="M23" s="70">
        <f>SUM(M20:M22)</f>
        <v>117020.6</v>
      </c>
      <c r="N23" s="34">
        <f>SUM(N20:N22)</f>
        <v>1353.3000000000025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1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6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7"/>
  <sheetViews>
    <sheetView workbookViewId="0">
      <selection activeCell="B5" sqref="B5"/>
    </sheetView>
  </sheetViews>
  <sheetFormatPr defaultColWidth="9" defaultRowHeight="14.25"/>
  <cols>
    <col min="1" max="1" width="2.53125" style="17" customWidth="1"/>
    <col min="2" max="2" width="10.1328125" style="64" customWidth="1"/>
    <col min="3" max="3" width="12.1328125" style="17" customWidth="1"/>
    <col min="4" max="4" width="11.46484375" style="17" customWidth="1"/>
    <col min="5" max="6" width="12" style="17" bestFit="1" customWidth="1"/>
    <col min="7" max="7" width="11.33203125" style="17" bestFit="1" customWidth="1"/>
    <col min="8" max="8" width="9.33203125" style="17" bestFit="1" customWidth="1"/>
    <col min="9" max="11" width="9" style="17" customWidth="1"/>
    <col min="12" max="12" width="8.33203125" style="64" bestFit="1" customWidth="1"/>
    <col min="13" max="15" width="9.86328125" style="64" customWidth="1"/>
    <col min="16" max="16" width="14.53125" style="64" customWidth="1"/>
    <col min="17" max="17" width="16.1328125" style="64" customWidth="1"/>
    <col min="18" max="18" width="11.6640625" style="64" customWidth="1"/>
    <col min="19" max="19" width="11.53125" style="64" customWidth="1"/>
    <col min="20" max="20" width="14" style="24" bestFit="1" customWidth="1"/>
    <col min="21" max="21" width="9" style="17"/>
    <col min="22" max="22" width="11.33203125" style="17" customWidth="1"/>
    <col min="23" max="23" width="11.86328125" style="17" customWidth="1"/>
    <col min="24" max="16384" width="9" style="17"/>
  </cols>
  <sheetData>
    <row r="1" spans="2:20" s="10" customFormat="1">
      <c r="B1" s="55"/>
      <c r="L1" s="55"/>
      <c r="M1" s="55"/>
      <c r="N1" s="55"/>
      <c r="O1" s="55"/>
      <c r="P1" s="55"/>
      <c r="Q1" s="55"/>
      <c r="R1" s="55"/>
      <c r="S1" s="55"/>
      <c r="T1" s="46" t="s">
        <v>663</v>
      </c>
    </row>
    <row r="2" spans="2:20" s="10" customFormat="1">
      <c r="B2" s="55"/>
      <c r="L2" s="55"/>
      <c r="M2" s="55"/>
      <c r="N2" s="55"/>
      <c r="O2" s="55"/>
      <c r="P2" s="55"/>
      <c r="Q2" s="55"/>
      <c r="R2" s="55"/>
      <c r="S2" s="55"/>
      <c r="T2" s="47" t="s">
        <v>662</v>
      </c>
    </row>
    <row r="3" spans="2:20">
      <c r="B3" s="87" t="s">
        <v>617</v>
      </c>
      <c r="C3" s="35"/>
      <c r="D3" s="35"/>
      <c r="E3" s="35"/>
      <c r="F3" s="35"/>
      <c r="G3" s="35"/>
      <c r="H3" s="35"/>
      <c r="I3" s="35"/>
      <c r="J3" s="35"/>
      <c r="K3" s="35"/>
      <c r="L3" s="71"/>
      <c r="M3" s="71"/>
      <c r="N3" s="71"/>
      <c r="O3" s="71"/>
      <c r="P3" s="71"/>
      <c r="Q3" s="71"/>
      <c r="R3" s="71"/>
      <c r="S3" s="71"/>
      <c r="T3" s="83"/>
    </row>
    <row r="4" spans="2:20" ht="71.25">
      <c r="B4" s="85" t="s">
        <v>170</v>
      </c>
      <c r="C4" s="36" t="s">
        <v>761</v>
      </c>
      <c r="D4" s="36" t="s">
        <v>618</v>
      </c>
      <c r="E4" s="36" t="s">
        <v>619</v>
      </c>
      <c r="F4" s="36" t="s">
        <v>620</v>
      </c>
      <c r="G4" s="36" t="s">
        <v>635</v>
      </c>
      <c r="H4" s="36" t="s">
        <v>630</v>
      </c>
      <c r="I4" s="36" t="s">
        <v>621</v>
      </c>
      <c r="J4" s="36" t="s">
        <v>622</v>
      </c>
      <c r="K4" s="36" t="s">
        <v>623</v>
      </c>
      <c r="L4" s="72" t="s">
        <v>626</v>
      </c>
      <c r="M4" s="72" t="s">
        <v>627</v>
      </c>
      <c r="N4" s="72" t="s">
        <v>628</v>
      </c>
      <c r="O4" s="72" t="s">
        <v>629</v>
      </c>
      <c r="P4" s="72" t="s">
        <v>632</v>
      </c>
      <c r="Q4" s="72" t="s">
        <v>633</v>
      </c>
      <c r="R4" s="72" t="s">
        <v>634</v>
      </c>
      <c r="S4" s="56" t="s">
        <v>169</v>
      </c>
      <c r="T4" s="29" t="s">
        <v>155</v>
      </c>
    </row>
    <row r="5" spans="2:20">
      <c r="B5" s="86">
        <v>150</v>
      </c>
      <c r="C5" s="6">
        <v>100000</v>
      </c>
      <c r="D5" s="6">
        <v>100000</v>
      </c>
      <c r="E5" s="6">
        <v>200000</v>
      </c>
      <c r="F5" s="6">
        <v>300000</v>
      </c>
      <c r="G5" s="6">
        <v>350000</v>
      </c>
      <c r="H5" s="8" t="s">
        <v>731</v>
      </c>
      <c r="I5" s="8" t="s">
        <v>732</v>
      </c>
      <c r="J5" s="8" t="s">
        <v>733</v>
      </c>
      <c r="K5" s="8" t="s">
        <v>734</v>
      </c>
      <c r="L5" s="73">
        <f>VLOOKUP(H5,'yi-üfe-dikey'!$A:$B,2,0)</f>
        <v>3659.84</v>
      </c>
      <c r="M5" s="73">
        <f>VLOOKUP(I5,'yi-üfe-dikey'!A:B,2,0)</f>
        <v>3707.1</v>
      </c>
      <c r="N5" s="73">
        <f>VLOOKUP(J5,'yi-üfe-dikey'!A:B,2,0)</f>
        <v>3731.43</v>
      </c>
      <c r="O5" s="73">
        <f>VLOOKUP(K5,'yi-üfe-dikey'!A:B,2,0)</f>
        <v>3746.52</v>
      </c>
      <c r="P5" s="73">
        <f>O5/L5*C5</f>
        <v>102368.40954795838</v>
      </c>
      <c r="Q5" s="73">
        <f>O5/M5*D5+O5/N5*E5+O5/O5*F5</f>
        <v>601872.17009775899</v>
      </c>
      <c r="R5" s="74">
        <f>ROUND((P5+Q5)/(C5+D5+E5+F5),5)</f>
        <v>1.00606</v>
      </c>
      <c r="S5" s="60">
        <f>ROUND((G5*R5),2)</f>
        <v>352121</v>
      </c>
      <c r="T5" s="31">
        <f>+S5-G5</f>
        <v>2121</v>
      </c>
    </row>
    <row r="6" spans="2:20">
      <c r="B6" s="86"/>
      <c r="C6" s="6"/>
      <c r="D6" s="6"/>
      <c r="E6" s="6"/>
      <c r="F6" s="6"/>
      <c r="G6" s="6"/>
      <c r="H6" s="6"/>
      <c r="I6" s="6"/>
      <c r="J6" s="6"/>
      <c r="K6" s="6"/>
      <c r="L6" s="60"/>
      <c r="M6" s="60"/>
      <c r="N6" s="60"/>
      <c r="O6" s="60"/>
      <c r="P6" s="60"/>
      <c r="Q6" s="60"/>
      <c r="R6" s="60"/>
      <c r="S6" s="60"/>
      <c r="T6" s="31"/>
    </row>
    <row r="7" spans="2:20">
      <c r="B7" s="86"/>
      <c r="C7" s="6"/>
      <c r="D7" s="6"/>
      <c r="E7" s="6"/>
      <c r="F7" s="6"/>
      <c r="G7" s="6"/>
      <c r="H7" s="6"/>
      <c r="I7" s="6"/>
      <c r="J7" s="6"/>
      <c r="K7" s="6"/>
      <c r="L7" s="60"/>
      <c r="M7" s="60"/>
      <c r="N7" s="60"/>
      <c r="O7" s="60"/>
      <c r="P7" s="60"/>
      <c r="Q7" s="60"/>
      <c r="R7" s="60"/>
      <c r="S7" s="60"/>
      <c r="T7" s="31"/>
    </row>
    <row r="8" spans="2:20">
      <c r="B8" s="86"/>
      <c r="C8" s="6"/>
      <c r="D8" s="6"/>
      <c r="E8" s="6"/>
      <c r="F8" s="6"/>
      <c r="G8" s="6"/>
      <c r="H8" s="6"/>
      <c r="I8" s="6"/>
      <c r="J8" s="6"/>
      <c r="K8" s="6"/>
      <c r="L8" s="60"/>
      <c r="M8" s="60"/>
      <c r="N8" s="60"/>
      <c r="O8" s="60"/>
      <c r="P8" s="60"/>
      <c r="Q8" s="60"/>
      <c r="R8" s="60"/>
      <c r="S8" s="60"/>
      <c r="T8" s="31"/>
    </row>
    <row r="9" spans="2:20">
      <c r="B9" s="86"/>
      <c r="C9" s="6"/>
      <c r="D9" s="6"/>
      <c r="E9" s="6"/>
      <c r="F9" s="6"/>
      <c r="G9" s="6"/>
      <c r="H9" s="6"/>
      <c r="I9" s="6"/>
      <c r="J9" s="6"/>
      <c r="K9" s="6"/>
      <c r="L9" s="60"/>
      <c r="M9" s="60"/>
      <c r="N9" s="60"/>
      <c r="O9" s="60"/>
      <c r="P9" s="60"/>
      <c r="Q9" s="60"/>
      <c r="R9" s="60"/>
    </row>
    <row r="10" spans="2:20" ht="18">
      <c r="B10" s="86"/>
      <c r="C10" s="84"/>
      <c r="D10" s="6"/>
      <c r="E10" s="6"/>
      <c r="F10" s="6"/>
      <c r="G10" s="6"/>
      <c r="H10" s="6"/>
      <c r="I10" s="6"/>
    </row>
    <row r="11" spans="2:20">
      <c r="B11" s="86"/>
      <c r="C11" s="6"/>
      <c r="D11" s="6"/>
      <c r="E11" s="6"/>
      <c r="F11" s="6"/>
      <c r="G11" s="6"/>
      <c r="H11" s="6"/>
      <c r="I11" s="6"/>
    </row>
    <row r="12" spans="2:20">
      <c r="B12" s="86"/>
      <c r="C12" s="6"/>
      <c r="D12" s="6"/>
      <c r="E12" s="6"/>
      <c r="F12" s="6"/>
      <c r="G12" s="6"/>
      <c r="H12" s="6"/>
      <c r="J12" s="6"/>
      <c r="K12" s="6"/>
      <c r="L12" s="60"/>
      <c r="M12" s="60"/>
      <c r="N12" s="60"/>
      <c r="O12" s="60"/>
      <c r="P12" s="60"/>
      <c r="Q12" s="60"/>
      <c r="R12" s="60"/>
    </row>
    <row r="13" spans="2:20">
      <c r="B13" s="86"/>
      <c r="C13" s="6"/>
      <c r="D13" s="6"/>
      <c r="E13" s="6"/>
      <c r="F13" s="6"/>
      <c r="G13" s="6"/>
      <c r="H13" s="6"/>
    </row>
    <row r="14" spans="2:20">
      <c r="B14" s="86"/>
      <c r="C14" s="6"/>
      <c r="D14" s="6"/>
      <c r="E14" s="6"/>
      <c r="F14" s="6"/>
      <c r="G14" s="6"/>
      <c r="H14" s="6"/>
    </row>
    <row r="15" spans="2:20">
      <c r="B15" s="86"/>
      <c r="C15" s="6"/>
      <c r="D15" s="6"/>
      <c r="E15" s="6"/>
      <c r="F15" s="6"/>
      <c r="G15" s="6"/>
      <c r="H15" s="6"/>
    </row>
    <row r="16" spans="2:20">
      <c r="B16" s="86"/>
      <c r="C16" s="6"/>
      <c r="D16" s="6"/>
      <c r="E16" s="6"/>
      <c r="F16" s="6"/>
      <c r="G16" s="6"/>
      <c r="H16" s="6"/>
    </row>
    <row r="17" spans="2:8">
      <c r="B17" s="86"/>
      <c r="C17" s="6"/>
      <c r="D17" s="6"/>
      <c r="E17" s="6"/>
      <c r="F17" s="6"/>
      <c r="G17" s="6"/>
      <c r="H17" s="6"/>
    </row>
  </sheetData>
  <sheetProtection password="DFF0" sheet="1" objects="1" scenarios="1" formatCells="0" formatColumns="0" formatRows="0" insertColumns="0" insertRows="0" insertHyperlinks="0" deleteColumns="0" deleteRows="0" sort="0" autoFilter="0"/>
  <autoFilter ref="A1:W17"/>
  <hyperlinks>
    <hyperlink ref="T2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5"/>
  <sheetViews>
    <sheetView workbookViewId="0">
      <selection activeCell="H31" sqref="H31"/>
    </sheetView>
  </sheetViews>
  <sheetFormatPr defaultColWidth="9" defaultRowHeight="14.25"/>
  <cols>
    <col min="1" max="1" width="1.1328125" style="17" customWidth="1"/>
    <col min="2" max="2" width="9" style="64"/>
    <col min="3" max="3" width="14.33203125" style="17" customWidth="1"/>
    <col min="4" max="4" width="5" style="141" customWidth="1"/>
    <col min="5" max="5" width="21.6640625" style="17" customWidth="1"/>
    <col min="6" max="6" width="12.86328125" style="6" customWidth="1"/>
    <col min="7" max="7" width="11" style="17" customWidth="1"/>
    <col min="8" max="8" width="12.46484375" style="64" bestFit="1" customWidth="1"/>
    <col min="9" max="9" width="11.53125" style="63" customWidth="1"/>
    <col min="10" max="10" width="13.1328125" style="63" bestFit="1" customWidth="1"/>
    <col min="11" max="11" width="12.53125" style="64" customWidth="1"/>
    <col min="12" max="12" width="13.1328125" style="64" bestFit="1" customWidth="1"/>
    <col min="13" max="13" width="9.53125" style="64" bestFit="1" customWidth="1"/>
    <col min="14" max="14" width="13.46484375" style="64" customWidth="1"/>
    <col min="15" max="15" width="13.6640625" style="24" customWidth="1"/>
    <col min="16" max="16" width="10.33203125" style="143" customWidth="1"/>
    <col min="17" max="16384" width="9" style="17"/>
  </cols>
  <sheetData>
    <row r="1" spans="2:16" s="10" customFormat="1">
      <c r="B1" s="55"/>
      <c r="D1" s="137"/>
      <c r="F1" s="23"/>
      <c r="H1" s="55"/>
      <c r="I1" s="54"/>
      <c r="J1" s="54"/>
      <c r="K1" s="55"/>
      <c r="L1" s="55"/>
      <c r="M1" s="55"/>
      <c r="N1" s="55"/>
      <c r="O1" s="46" t="s">
        <v>663</v>
      </c>
      <c r="P1" s="142"/>
    </row>
    <row r="2" spans="2:16" s="10" customFormat="1">
      <c r="B2" s="55"/>
      <c r="D2" s="137"/>
      <c r="F2" s="23"/>
      <c r="H2" s="55"/>
      <c r="I2" s="54"/>
      <c r="J2" s="54"/>
      <c r="K2" s="55"/>
      <c r="L2" s="55"/>
      <c r="M2" s="55"/>
      <c r="N2" s="55"/>
      <c r="O2" s="47" t="s">
        <v>662</v>
      </c>
      <c r="P2" s="142"/>
    </row>
    <row r="3" spans="2:16" ht="39.4">
      <c r="B3" s="81" t="s">
        <v>143</v>
      </c>
      <c r="C3" s="1" t="s">
        <v>148</v>
      </c>
      <c r="D3" s="138"/>
      <c r="E3" s="1" t="s">
        <v>130</v>
      </c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6">
      <c r="B4" s="63" t="str">
        <f>LEFT(C4,3)</f>
        <v>159</v>
      </c>
      <c r="C4" s="4" t="s">
        <v>228</v>
      </c>
      <c r="D4" s="139" t="s">
        <v>563</v>
      </c>
      <c r="E4" s="4" t="s">
        <v>615</v>
      </c>
      <c r="F4" s="6">
        <v>576349.86</v>
      </c>
      <c r="G4" s="5">
        <v>44997</v>
      </c>
      <c r="H4" s="65">
        <f>'yi-üfe-dikey'!$E$6</f>
        <v>45657</v>
      </c>
      <c r="I4" s="59" t="str">
        <f>IF(G4&lt;='yi-üfe-dikey'!$E$5,'yi-üfe-dikey'!$F$4,YEAR(G4)&amp;TEXT((MONTH(G4)),"00"))</f>
        <v>202409</v>
      </c>
      <c r="J4" s="59" t="str">
        <f t="shared" ref="J4:J23" si="0">YEAR(H4)&amp;TEXT((MONTH(H4)),"00")</f>
        <v>202412</v>
      </c>
      <c r="K4" s="60">
        <f>VLOOKUP(I4,'yi-üfe-dikey'!A:B,2,0)</f>
        <v>3659.84</v>
      </c>
      <c r="L4" s="60">
        <f>VLOOKUP(J4,'yi-üfe-dikey'!A:B,2,0)</f>
        <v>3746.52</v>
      </c>
      <c r="M4" s="61">
        <f>ROUND(L4/K4,5)</f>
        <v>1.0236799999999999</v>
      </c>
      <c r="N4" s="62">
        <f t="shared" ref="N4:N23" si="1">ROUND(F4*M4,2)</f>
        <v>589997.81999999995</v>
      </c>
      <c r="O4" s="26">
        <f t="shared" ref="O4:O23" si="2">+N4-F4</f>
        <v>13647.959999999963</v>
      </c>
    </row>
    <row r="5" spans="2:16">
      <c r="B5" s="63" t="str">
        <f t="shared" ref="B5:B13" si="3">LEFT(C5,3)</f>
        <v>159</v>
      </c>
      <c r="C5" s="4" t="s">
        <v>229</v>
      </c>
      <c r="D5" s="139" t="s">
        <v>563</v>
      </c>
      <c r="E5" s="4" t="s">
        <v>616</v>
      </c>
      <c r="F5" s="6">
        <v>450356.89</v>
      </c>
      <c r="G5" s="5">
        <v>45185</v>
      </c>
      <c r="H5" s="65">
        <f>'yi-üfe-dikey'!$E$6</f>
        <v>45657</v>
      </c>
      <c r="I5" s="59" t="str">
        <f>IF(G5&lt;='yi-üfe-dikey'!$E$5,'yi-üfe-dikey'!$F$4,YEAR(G5)&amp;TEXT((MONTH(G5)),"00"))</f>
        <v>202409</v>
      </c>
      <c r="J5" s="59" t="str">
        <f t="shared" si="0"/>
        <v>202412</v>
      </c>
      <c r="K5" s="60">
        <f>VLOOKUP(I5,'yi-üfe-dikey'!A:B,2,0)</f>
        <v>3659.84</v>
      </c>
      <c r="L5" s="60">
        <f>VLOOKUP(J5,'yi-üfe-dikey'!A:B,2,0)</f>
        <v>3746.52</v>
      </c>
      <c r="M5" s="61">
        <f t="shared" ref="M5:M13" si="4">ROUND(L5/K5,5)</f>
        <v>1.0236799999999999</v>
      </c>
      <c r="N5" s="62">
        <f t="shared" si="1"/>
        <v>461021.34</v>
      </c>
      <c r="O5" s="26">
        <f t="shared" si="2"/>
        <v>10664.450000000012</v>
      </c>
    </row>
    <row r="6" spans="2:16">
      <c r="B6" s="63" t="str">
        <f t="shared" si="3"/>
        <v>159</v>
      </c>
      <c r="C6" s="4" t="s">
        <v>230</v>
      </c>
      <c r="D6" s="139" t="s">
        <v>561</v>
      </c>
      <c r="E6" s="4" t="s">
        <v>589</v>
      </c>
      <c r="F6" s="6">
        <v>4207</v>
      </c>
      <c r="G6" s="5">
        <v>45363</v>
      </c>
      <c r="H6" s="65">
        <f>'yi-üfe-dikey'!$E$6</f>
        <v>45657</v>
      </c>
      <c r="I6" s="59" t="str">
        <f>IF(G6&lt;='yi-üfe-dikey'!$E$5,'yi-üfe-dikey'!$F$4,YEAR(G6)&amp;TEXT((MONTH(G6)),"00"))</f>
        <v>202409</v>
      </c>
      <c r="J6" s="59" t="str">
        <f t="shared" si="0"/>
        <v>202412</v>
      </c>
      <c r="K6" s="60">
        <f>VLOOKUP(I6,'yi-üfe-dikey'!A:B,2,0)</f>
        <v>3659.84</v>
      </c>
      <c r="L6" s="60">
        <f>VLOOKUP(J6,'yi-üfe-dikey'!A:B,2,0)</f>
        <v>3746.52</v>
      </c>
      <c r="M6" s="61">
        <f t="shared" si="4"/>
        <v>1.0236799999999999</v>
      </c>
      <c r="N6" s="62">
        <f t="shared" si="1"/>
        <v>4306.62</v>
      </c>
      <c r="O6" s="26">
        <f t="shared" si="2"/>
        <v>99.619999999999891</v>
      </c>
      <c r="P6" s="143" t="s">
        <v>721</v>
      </c>
    </row>
    <row r="7" spans="2:16" s="15" customFormat="1">
      <c r="B7" s="126"/>
      <c r="C7" s="127"/>
      <c r="D7" s="140"/>
      <c r="E7" s="127"/>
      <c r="F7" s="25">
        <f>SUM(F4:F6)</f>
        <v>1030913.75</v>
      </c>
      <c r="G7" s="128"/>
      <c r="H7" s="129"/>
      <c r="I7" s="130"/>
      <c r="J7" s="130"/>
      <c r="K7" s="70"/>
      <c r="L7" s="70"/>
      <c r="M7" s="131"/>
      <c r="N7" s="132">
        <f>SUM(N4:N6)</f>
        <v>1055325.78</v>
      </c>
      <c r="O7" s="133">
        <f>SUM(O4:O6)</f>
        <v>24412.029999999973</v>
      </c>
      <c r="P7" s="144"/>
    </row>
    <row r="8" spans="2:16">
      <c r="B8" s="63"/>
      <c r="C8" s="4"/>
      <c r="D8" s="139"/>
      <c r="E8" s="4"/>
      <c r="G8" s="5"/>
      <c r="H8" s="65"/>
      <c r="I8" s="59"/>
      <c r="J8" s="59"/>
      <c r="K8" s="60"/>
      <c r="L8" s="60"/>
      <c r="M8" s="61"/>
      <c r="N8" s="62"/>
      <c r="O8" s="26"/>
    </row>
    <row r="9" spans="2:16">
      <c r="B9" s="63" t="str">
        <f t="shared" si="3"/>
        <v>180</v>
      </c>
      <c r="C9" s="4" t="s">
        <v>231</v>
      </c>
      <c r="D9" s="139" t="s">
        <v>563</v>
      </c>
      <c r="E9" s="4" t="s">
        <v>232</v>
      </c>
      <c r="F9" s="6">
        <v>20170.09</v>
      </c>
      <c r="G9" s="5">
        <v>45047</v>
      </c>
      <c r="H9" s="65">
        <f>'yi-üfe-dikey'!$E$6</f>
        <v>45657</v>
      </c>
      <c r="I9" s="59" t="str">
        <f>IF(G9&lt;='yi-üfe-dikey'!$E$5,'yi-üfe-dikey'!$F$4,YEAR(G9)&amp;TEXT((MONTH(G9)),"00"))</f>
        <v>202409</v>
      </c>
      <c r="J9" s="59" t="str">
        <f t="shared" si="0"/>
        <v>202412</v>
      </c>
      <c r="K9" s="60">
        <f>VLOOKUP(I9,'yi-üfe-dikey'!A:B,2,0)</f>
        <v>3659.84</v>
      </c>
      <c r="L9" s="60">
        <f>VLOOKUP(J9,'yi-üfe-dikey'!A:B,2,0)</f>
        <v>3746.52</v>
      </c>
      <c r="M9" s="61">
        <f t="shared" si="4"/>
        <v>1.0236799999999999</v>
      </c>
      <c r="N9" s="62">
        <f t="shared" si="1"/>
        <v>20647.72</v>
      </c>
      <c r="O9" s="26">
        <f t="shared" si="2"/>
        <v>477.63000000000102</v>
      </c>
    </row>
    <row r="10" spans="2:16">
      <c r="B10" s="63" t="str">
        <f t="shared" si="3"/>
        <v>180</v>
      </c>
      <c r="C10" s="4" t="s">
        <v>233</v>
      </c>
      <c r="D10" s="139" t="s">
        <v>563</v>
      </c>
      <c r="E10" s="4" t="s">
        <v>234</v>
      </c>
      <c r="F10" s="6">
        <v>17077.71</v>
      </c>
      <c r="G10" s="5">
        <v>45047</v>
      </c>
      <c r="H10" s="65">
        <f>'yi-üfe-dikey'!$E$6</f>
        <v>45657</v>
      </c>
      <c r="I10" s="59" t="str">
        <f>IF(G10&lt;='yi-üfe-dikey'!$E$5,'yi-üfe-dikey'!$F$4,YEAR(G10)&amp;TEXT((MONTH(G10)),"00"))</f>
        <v>202409</v>
      </c>
      <c r="J10" s="59" t="str">
        <f t="shared" si="0"/>
        <v>202412</v>
      </c>
      <c r="K10" s="60">
        <f>VLOOKUP(I10,'yi-üfe-dikey'!A:B,2,0)</f>
        <v>3659.84</v>
      </c>
      <c r="L10" s="60">
        <f>VLOOKUP(J10,'yi-üfe-dikey'!A:B,2,0)</f>
        <v>3746.52</v>
      </c>
      <c r="M10" s="61">
        <f t="shared" si="4"/>
        <v>1.0236799999999999</v>
      </c>
      <c r="N10" s="62">
        <f t="shared" si="1"/>
        <v>17482.11</v>
      </c>
      <c r="O10" s="26">
        <f t="shared" si="2"/>
        <v>404.40000000000146</v>
      </c>
    </row>
    <row r="11" spans="2:16">
      <c r="B11" s="63" t="str">
        <f t="shared" si="3"/>
        <v>180</v>
      </c>
      <c r="C11" s="4" t="s">
        <v>235</v>
      </c>
      <c r="D11" s="139" t="s">
        <v>563</v>
      </c>
      <c r="E11" s="4" t="s">
        <v>236</v>
      </c>
      <c r="F11" s="6">
        <v>17102.97</v>
      </c>
      <c r="G11" s="5">
        <v>45047</v>
      </c>
      <c r="H11" s="65">
        <f>'yi-üfe-dikey'!$E$6</f>
        <v>45657</v>
      </c>
      <c r="I11" s="59" t="str">
        <f>IF(G11&lt;='yi-üfe-dikey'!$E$5,'yi-üfe-dikey'!$F$4,YEAR(G11)&amp;TEXT((MONTH(G11)),"00"))</f>
        <v>202409</v>
      </c>
      <c r="J11" s="59" t="str">
        <f t="shared" si="0"/>
        <v>202412</v>
      </c>
      <c r="K11" s="60">
        <f>VLOOKUP(I11,'yi-üfe-dikey'!A:B,2,0)</f>
        <v>3659.84</v>
      </c>
      <c r="L11" s="60">
        <f>VLOOKUP(J11,'yi-üfe-dikey'!A:B,2,0)</f>
        <v>3746.52</v>
      </c>
      <c r="M11" s="61">
        <f t="shared" si="4"/>
        <v>1.0236799999999999</v>
      </c>
      <c r="N11" s="62">
        <f t="shared" si="1"/>
        <v>17507.97</v>
      </c>
      <c r="O11" s="26">
        <f t="shared" si="2"/>
        <v>405</v>
      </c>
    </row>
    <row r="12" spans="2:16">
      <c r="B12" s="63" t="str">
        <f t="shared" si="3"/>
        <v>180</v>
      </c>
      <c r="C12" s="4" t="s">
        <v>237</v>
      </c>
      <c r="D12" s="139" t="s">
        <v>563</v>
      </c>
      <c r="E12" s="4" t="s">
        <v>238</v>
      </c>
      <c r="F12" s="6">
        <v>6500.72</v>
      </c>
      <c r="G12" s="5">
        <v>45047</v>
      </c>
      <c r="H12" s="65">
        <f>'yi-üfe-dikey'!$E$6</f>
        <v>45657</v>
      </c>
      <c r="I12" s="59" t="str">
        <f>IF(G12&lt;='yi-üfe-dikey'!$E$5,'yi-üfe-dikey'!$F$4,YEAR(G12)&amp;TEXT((MONTH(G12)),"00"))</f>
        <v>202409</v>
      </c>
      <c r="J12" s="59" t="str">
        <f t="shared" si="0"/>
        <v>202412</v>
      </c>
      <c r="K12" s="60">
        <f>VLOOKUP(I12,'yi-üfe-dikey'!A:B,2,0)</f>
        <v>3659.84</v>
      </c>
      <c r="L12" s="60">
        <f>VLOOKUP(J12,'yi-üfe-dikey'!A:B,2,0)</f>
        <v>3746.52</v>
      </c>
      <c r="M12" s="61">
        <f t="shared" si="4"/>
        <v>1.0236799999999999</v>
      </c>
      <c r="N12" s="62">
        <f t="shared" si="1"/>
        <v>6654.66</v>
      </c>
      <c r="O12" s="26">
        <f t="shared" si="2"/>
        <v>153.9399999999996</v>
      </c>
    </row>
    <row r="13" spans="2:16">
      <c r="B13" s="63" t="str">
        <f t="shared" si="3"/>
        <v>180</v>
      </c>
      <c r="C13" s="4" t="s">
        <v>237</v>
      </c>
      <c r="D13" s="139" t="s">
        <v>561</v>
      </c>
      <c r="E13" s="4" t="s">
        <v>719</v>
      </c>
      <c r="F13" s="6">
        <v>10000</v>
      </c>
      <c r="G13" s="5">
        <v>45291</v>
      </c>
      <c r="H13" s="65">
        <f>'yi-üfe-dikey'!$E$6</f>
        <v>45657</v>
      </c>
      <c r="I13" s="59" t="str">
        <f>IF(G13&lt;='yi-üfe-dikey'!$E$5,'yi-üfe-dikey'!$F$4,YEAR(G13)&amp;TEXT((MONTH(G13)),"00"))</f>
        <v>202409</v>
      </c>
      <c r="J13" s="59" t="str">
        <f t="shared" ref="J13" si="5">YEAR(H13)&amp;TEXT((MONTH(H13)),"00")</f>
        <v>202412</v>
      </c>
      <c r="K13" s="60">
        <f>VLOOKUP(I13,'yi-üfe-dikey'!A:B,2,0)</f>
        <v>3659.84</v>
      </c>
      <c r="L13" s="60">
        <f>VLOOKUP(J13,'yi-üfe-dikey'!A:B,2,0)</f>
        <v>3746.52</v>
      </c>
      <c r="M13" s="61">
        <f t="shared" si="4"/>
        <v>1.0236799999999999</v>
      </c>
      <c r="N13" s="62">
        <f t="shared" ref="N13" si="6">ROUND(F13*M13,2)</f>
        <v>10236.799999999999</v>
      </c>
      <c r="O13" s="26">
        <f t="shared" ref="O13" si="7">+N13-F13</f>
        <v>236.79999999999927</v>
      </c>
      <c r="P13" s="143" t="s">
        <v>720</v>
      </c>
    </row>
    <row r="14" spans="2:16" s="15" customFormat="1">
      <c r="B14" s="126"/>
      <c r="C14" s="127"/>
      <c r="D14" s="140"/>
      <c r="E14" s="127"/>
      <c r="F14" s="25">
        <f>SUM(F9:F13)</f>
        <v>70851.490000000005</v>
      </c>
      <c r="G14" s="128"/>
      <c r="H14" s="129"/>
      <c r="I14" s="130"/>
      <c r="J14" s="130"/>
      <c r="K14" s="70"/>
      <c r="L14" s="70"/>
      <c r="M14" s="131"/>
      <c r="N14" s="132">
        <f>SUM(N9:N13)</f>
        <v>72529.260000000009</v>
      </c>
      <c r="O14" s="133">
        <f>SUM(O9:O13)</f>
        <v>1677.7700000000013</v>
      </c>
      <c r="P14" s="144"/>
    </row>
    <row r="15" spans="2:16">
      <c r="B15" s="63"/>
      <c r="C15" s="4"/>
      <c r="D15" s="139"/>
      <c r="E15" s="4"/>
      <c r="G15" s="5"/>
      <c r="H15" s="65"/>
      <c r="I15" s="59"/>
      <c r="J15" s="59"/>
      <c r="K15" s="60"/>
      <c r="L15" s="60"/>
      <c r="M15" s="61"/>
      <c r="N15" s="62"/>
      <c r="O15" s="26"/>
    </row>
    <row r="16" spans="2:16">
      <c r="B16" s="63" t="str">
        <f>LEFT(C16,3)</f>
        <v>340</v>
      </c>
      <c r="C16" s="4" t="s">
        <v>291</v>
      </c>
      <c r="D16" s="139" t="s">
        <v>563</v>
      </c>
      <c r="E16" s="4" t="s">
        <v>644</v>
      </c>
      <c r="F16" s="6">
        <v>480000</v>
      </c>
      <c r="G16" s="5">
        <v>45342</v>
      </c>
      <c r="H16" s="65">
        <f>'yi-üfe-dikey'!$E$6</f>
        <v>45657</v>
      </c>
      <c r="I16" s="59" t="str">
        <f>IF(G16&lt;='yi-üfe-dikey'!$E$5,'yi-üfe-dikey'!$F$4,YEAR(G16)&amp;TEXT((MONTH(G16)),"00"))</f>
        <v>202409</v>
      </c>
      <c r="J16" s="59" t="str">
        <f t="shared" si="0"/>
        <v>202412</v>
      </c>
      <c r="K16" s="60">
        <f>VLOOKUP(I16,'yi-üfe-dikey'!A:B,2,0)</f>
        <v>3659.84</v>
      </c>
      <c r="L16" s="60">
        <f>VLOOKUP(J16,'yi-üfe-dikey'!A:B,2,0)</f>
        <v>3746.52</v>
      </c>
      <c r="M16" s="61">
        <f>ROUND(L16/K16,5)</f>
        <v>1.0236799999999999</v>
      </c>
      <c r="N16" s="62">
        <f t="shared" si="1"/>
        <v>491366.40000000002</v>
      </c>
      <c r="O16" s="26">
        <f t="shared" si="2"/>
        <v>11366.400000000023</v>
      </c>
    </row>
    <row r="17" spans="2:16" s="15" customFormat="1">
      <c r="B17" s="126"/>
      <c r="C17" s="127"/>
      <c r="D17" s="140"/>
      <c r="E17" s="127"/>
      <c r="F17" s="25">
        <f>SUM(F16)</f>
        <v>480000</v>
      </c>
      <c r="G17" s="128"/>
      <c r="H17" s="129"/>
      <c r="I17" s="130"/>
      <c r="J17" s="130"/>
      <c r="K17" s="70"/>
      <c r="L17" s="70"/>
      <c r="M17" s="131"/>
      <c r="N17" s="132">
        <f>SUM(N16)</f>
        <v>491366.40000000002</v>
      </c>
      <c r="O17" s="133">
        <f>SUM(O16)</f>
        <v>11366.400000000023</v>
      </c>
      <c r="P17" s="144"/>
    </row>
    <row r="18" spans="2:16">
      <c r="B18" s="63"/>
      <c r="C18" s="4"/>
      <c r="D18" s="139"/>
      <c r="E18" s="4"/>
      <c r="G18" s="5"/>
      <c r="H18" s="65"/>
      <c r="I18" s="59"/>
      <c r="J18" s="59"/>
      <c r="K18" s="60"/>
      <c r="L18" s="60"/>
      <c r="M18" s="61"/>
      <c r="N18" s="62"/>
      <c r="O18" s="26"/>
    </row>
    <row r="19" spans="2:16">
      <c r="B19" s="63" t="str">
        <f t="shared" ref="B19:B23" si="8">LEFT(C19,3)</f>
        <v>380</v>
      </c>
      <c r="C19" s="4" t="s">
        <v>645</v>
      </c>
      <c r="D19" s="139" t="s">
        <v>563</v>
      </c>
      <c r="E19" s="4" t="s">
        <v>646</v>
      </c>
      <c r="F19" s="6">
        <v>30000</v>
      </c>
      <c r="G19" s="5">
        <v>45372</v>
      </c>
      <c r="H19" s="65">
        <f>'yi-üfe-dikey'!$E$6</f>
        <v>45657</v>
      </c>
      <c r="I19" s="59" t="str">
        <f>IF(G19&lt;='yi-üfe-dikey'!$E$5,'yi-üfe-dikey'!$F$4,YEAR(G19)&amp;TEXT((MONTH(G19)),"00"))</f>
        <v>202409</v>
      </c>
      <c r="J19" s="59" t="str">
        <f t="shared" si="0"/>
        <v>202412</v>
      </c>
      <c r="K19" s="60">
        <f>VLOOKUP(I19,'yi-üfe-dikey'!A:B,2,0)</f>
        <v>3659.84</v>
      </c>
      <c r="L19" s="60">
        <f>VLOOKUP(J19,'yi-üfe-dikey'!A:B,2,0)</f>
        <v>3746.52</v>
      </c>
      <c r="M19" s="61">
        <f t="shared" ref="M19:M23" si="9">ROUND(L19/K19,5)</f>
        <v>1.0236799999999999</v>
      </c>
      <c r="N19" s="62">
        <f t="shared" si="1"/>
        <v>30710.400000000001</v>
      </c>
      <c r="O19" s="26">
        <f t="shared" si="2"/>
        <v>710.40000000000146</v>
      </c>
    </row>
    <row r="20" spans="2:16">
      <c r="B20" s="63" t="str">
        <f t="shared" si="8"/>
        <v>380</v>
      </c>
      <c r="C20" s="4" t="s">
        <v>657</v>
      </c>
      <c r="D20" s="139" t="s">
        <v>563</v>
      </c>
      <c r="E20" s="17" t="s">
        <v>647</v>
      </c>
      <c r="F20" s="6">
        <v>100000</v>
      </c>
      <c r="G20" s="5">
        <v>45017</v>
      </c>
      <c r="H20" s="65">
        <f>'yi-üfe-dikey'!$E$6</f>
        <v>45657</v>
      </c>
      <c r="I20" s="59" t="str">
        <f>IF(G20&lt;='yi-üfe-dikey'!$E$5,'yi-üfe-dikey'!$F$4,YEAR(G20)&amp;TEXT((MONTH(G20)),"00"))</f>
        <v>202409</v>
      </c>
      <c r="J20" s="59" t="str">
        <f t="shared" si="0"/>
        <v>202412</v>
      </c>
      <c r="K20" s="60">
        <f>VLOOKUP(I20,'yi-üfe-dikey'!A:B,2,0)</f>
        <v>3659.84</v>
      </c>
      <c r="L20" s="60">
        <f>VLOOKUP(J20,'yi-üfe-dikey'!A:B,2,0)</f>
        <v>3746.52</v>
      </c>
      <c r="M20" s="61">
        <f t="shared" si="9"/>
        <v>1.0236799999999999</v>
      </c>
      <c r="N20" s="62">
        <f t="shared" si="1"/>
        <v>102368</v>
      </c>
      <c r="O20" s="26">
        <f t="shared" si="2"/>
        <v>2368</v>
      </c>
    </row>
    <row r="21" spans="2:16" s="15" customFormat="1">
      <c r="B21" s="126"/>
      <c r="C21" s="127"/>
      <c r="D21" s="140"/>
      <c r="F21" s="25">
        <f>SUM(F19:F20)</f>
        <v>130000</v>
      </c>
      <c r="G21" s="128"/>
      <c r="H21" s="129"/>
      <c r="I21" s="130"/>
      <c r="J21" s="130"/>
      <c r="K21" s="70"/>
      <c r="L21" s="70"/>
      <c r="M21" s="131"/>
      <c r="N21" s="132">
        <f>SUM(N19:N20)</f>
        <v>133078.39999999999</v>
      </c>
      <c r="O21" s="133">
        <f>SUM(O19:O20)</f>
        <v>3078.4000000000015</v>
      </c>
      <c r="P21" s="144"/>
    </row>
    <row r="22" spans="2:16">
      <c r="B22" s="63"/>
      <c r="C22" s="4"/>
      <c r="D22" s="139"/>
      <c r="G22" s="5"/>
      <c r="H22" s="65"/>
      <c r="I22" s="59"/>
      <c r="J22" s="59"/>
      <c r="K22" s="60"/>
      <c r="L22" s="60"/>
      <c r="M22" s="61"/>
      <c r="N22" s="62"/>
      <c r="O22" s="26"/>
    </row>
    <row r="23" spans="2:16">
      <c r="B23" s="63" t="str">
        <f t="shared" si="8"/>
        <v>480</v>
      </c>
      <c r="C23" s="4" t="s">
        <v>658</v>
      </c>
      <c r="D23" s="139" t="s">
        <v>563</v>
      </c>
      <c r="E23" s="17" t="s">
        <v>647</v>
      </c>
      <c r="F23" s="6">
        <v>100000</v>
      </c>
      <c r="G23" s="5">
        <v>45017</v>
      </c>
      <c r="H23" s="65">
        <f>'yi-üfe-dikey'!$E$6</f>
        <v>45657</v>
      </c>
      <c r="I23" s="59" t="str">
        <f>IF(G23&lt;='yi-üfe-dikey'!$E$5,'yi-üfe-dikey'!$F$4,YEAR(G23)&amp;TEXT((MONTH(G23)),"00"))</f>
        <v>202409</v>
      </c>
      <c r="J23" s="59" t="str">
        <f t="shared" si="0"/>
        <v>202412</v>
      </c>
      <c r="K23" s="60">
        <f>VLOOKUP(I23,'yi-üfe-dikey'!A:B,2,0)</f>
        <v>3659.84</v>
      </c>
      <c r="L23" s="60">
        <f>VLOOKUP(J23,'yi-üfe-dikey'!A:B,2,0)</f>
        <v>3746.52</v>
      </c>
      <c r="M23" s="61">
        <f t="shared" si="9"/>
        <v>1.0236799999999999</v>
      </c>
      <c r="N23" s="62">
        <f t="shared" si="1"/>
        <v>102368</v>
      </c>
      <c r="O23" s="26">
        <f t="shared" si="2"/>
        <v>2368</v>
      </c>
    </row>
    <row r="24" spans="2:16" s="15" customFormat="1">
      <c r="B24" s="134"/>
      <c r="C24" s="135"/>
      <c r="D24" s="140"/>
      <c r="E24" s="127"/>
      <c r="F24" s="25">
        <f>SUM(F23)</f>
        <v>100000</v>
      </c>
      <c r="H24" s="132"/>
      <c r="I24" s="132"/>
      <c r="J24" s="126"/>
      <c r="K24" s="134"/>
      <c r="L24" s="134"/>
      <c r="M24" s="134"/>
      <c r="N24" s="70">
        <f>SUM(N23)</f>
        <v>102368</v>
      </c>
      <c r="O24" s="34">
        <f>SUM(O23)</f>
        <v>2368</v>
      </c>
      <c r="P24" s="144"/>
    </row>
    <row r="25" spans="2:16">
      <c r="E25" s="27"/>
      <c r="H25" s="62"/>
      <c r="I25" s="62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25"/>
  <hyperlinks>
    <hyperlink ref="O2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6"/>
  <sheetViews>
    <sheetView workbookViewId="0">
      <selection activeCell="K16" sqref="K16"/>
    </sheetView>
  </sheetViews>
  <sheetFormatPr defaultColWidth="9" defaultRowHeight="14.25"/>
  <cols>
    <col min="1" max="1" width="1.6640625" style="17" customWidth="1"/>
    <col min="2" max="2" width="7.46484375" style="64" customWidth="1"/>
    <col min="3" max="3" width="14.33203125" style="17" customWidth="1"/>
    <col min="4" max="4" width="22.53125" style="17" customWidth="1"/>
    <col min="5" max="5" width="14.1328125" style="6" customWidth="1"/>
    <col min="6" max="6" width="11" style="17" customWidth="1"/>
    <col min="7" max="7" width="12.46484375" style="64" bestFit="1" customWidth="1"/>
    <col min="8" max="8" width="11.33203125" style="16" customWidth="1"/>
    <col min="9" max="9" width="10.46484375" style="16" customWidth="1"/>
    <col min="10" max="10" width="12.53125" style="17" customWidth="1"/>
    <col min="11" max="11" width="13.33203125" style="17" customWidth="1"/>
    <col min="12" max="12" width="9.53125" style="17" bestFit="1" customWidth="1"/>
    <col min="13" max="13" width="13.46484375" style="17" customWidth="1"/>
    <col min="14" max="14" width="13.6640625" style="24" customWidth="1"/>
    <col min="15" max="16384" width="9" style="17"/>
  </cols>
  <sheetData>
    <row r="1" spans="2:14" s="10" customFormat="1">
      <c r="B1" s="55"/>
      <c r="E1" s="23"/>
      <c r="G1" s="55"/>
      <c r="H1" s="14"/>
      <c r="I1" s="14"/>
      <c r="N1" s="46" t="s">
        <v>663</v>
      </c>
    </row>
    <row r="2" spans="2:14" s="10" customFormat="1">
      <c r="B2" s="55"/>
      <c r="E2" s="23"/>
      <c r="G2" s="55"/>
      <c r="H2" s="14"/>
      <c r="I2" s="14"/>
      <c r="N2" s="47" t="s">
        <v>662</v>
      </c>
    </row>
    <row r="3" spans="2:14">
      <c r="N3" s="9"/>
    </row>
    <row r="4" spans="2:14" ht="39.4">
      <c r="B4" s="81" t="s">
        <v>143</v>
      </c>
      <c r="C4" s="1" t="s">
        <v>148</v>
      </c>
      <c r="D4" s="1" t="s">
        <v>130</v>
      </c>
      <c r="E4" s="7" t="s">
        <v>183</v>
      </c>
      <c r="F4" s="2" t="s">
        <v>144</v>
      </c>
      <c r="G4" s="67" t="s">
        <v>153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150</v>
      </c>
      <c r="M4" s="58" t="s">
        <v>151</v>
      </c>
      <c r="N4" s="29" t="s">
        <v>155</v>
      </c>
    </row>
    <row r="5" spans="2:14">
      <c r="B5" s="63" t="str">
        <f t="shared" ref="B5:B6" si="0">LEFT(C5,3)</f>
        <v>170</v>
      </c>
      <c r="C5" s="4" t="s">
        <v>605</v>
      </c>
      <c r="D5" s="4" t="s">
        <v>607</v>
      </c>
      <c r="E5" s="6">
        <v>1000000</v>
      </c>
      <c r="F5" s="5">
        <v>45231</v>
      </c>
      <c r="G5" s="65">
        <f>'yi-üfe-dikey'!$E$6</f>
        <v>45657</v>
      </c>
      <c r="H5" s="59" t="str">
        <f>IF(F5&lt;='yi-üfe-dikey'!$E$5,'yi-üfe-dikey'!$F$4,YEAR(F5)&amp;TEXT((MONTH(F5)),"00"))</f>
        <v>202409</v>
      </c>
      <c r="I5" s="59" t="str">
        <f t="shared" ref="I5:I6" si="1">YEAR(G5)&amp;TEXT((MONTH(G5)),"00")</f>
        <v>202412</v>
      </c>
      <c r="J5" s="60">
        <f>VLOOKUP(H5,'yi-üfe-dikey'!A:B,2,0)</f>
        <v>3659.84</v>
      </c>
      <c r="K5" s="60">
        <f>VLOOKUP(I5,'yi-üfe-dikey'!A:B,2,0)</f>
        <v>3746.52</v>
      </c>
      <c r="L5" s="61">
        <f t="shared" ref="L5:L6" si="2">ROUND(K5/J5,5)</f>
        <v>1.0236799999999999</v>
      </c>
      <c r="M5" s="62">
        <f t="shared" ref="M5:M6" si="3">ROUND(E5*L5,2)</f>
        <v>1023680</v>
      </c>
      <c r="N5" s="26">
        <f t="shared" ref="N5:N6" si="4">+M5-E5</f>
        <v>23680</v>
      </c>
    </row>
    <row r="6" spans="2:14">
      <c r="B6" s="63" t="str">
        <f t="shared" si="0"/>
        <v>170</v>
      </c>
      <c r="C6" s="4" t="s">
        <v>605</v>
      </c>
      <c r="D6" s="4" t="s">
        <v>608</v>
      </c>
      <c r="E6" s="6">
        <v>200000</v>
      </c>
      <c r="F6" s="5">
        <v>45337</v>
      </c>
      <c r="G6" s="65">
        <f>'yi-üfe-dikey'!$E$6</f>
        <v>45657</v>
      </c>
      <c r="H6" s="59" t="str">
        <f>IF(F6&lt;='yi-üfe-dikey'!$E$5,'yi-üfe-dikey'!$F$4,YEAR(F6)&amp;TEXT((MONTH(F6)),"00"))</f>
        <v>202409</v>
      </c>
      <c r="I6" s="59" t="str">
        <f t="shared" si="1"/>
        <v>202412</v>
      </c>
      <c r="J6" s="60">
        <f>VLOOKUP(H6,'yi-üfe-dikey'!A:B,2,0)</f>
        <v>3659.84</v>
      </c>
      <c r="K6" s="60">
        <f>VLOOKUP(I6,'yi-üfe-dikey'!A:B,2,0)</f>
        <v>3746.52</v>
      </c>
      <c r="L6" s="61">
        <f t="shared" si="2"/>
        <v>1.0236799999999999</v>
      </c>
      <c r="M6" s="62">
        <f t="shared" si="3"/>
        <v>204736</v>
      </c>
      <c r="N6" s="26">
        <f t="shared" si="4"/>
        <v>4736</v>
      </c>
    </row>
    <row r="7" spans="2:14" s="15" customFormat="1">
      <c r="B7" s="126"/>
      <c r="C7" s="127"/>
      <c r="D7" s="127"/>
      <c r="E7" s="25">
        <f>SUM(E5:E6)</f>
        <v>1200000</v>
      </c>
      <c r="F7" s="128"/>
      <c r="G7" s="65"/>
      <c r="H7" s="130"/>
      <c r="I7" s="130"/>
      <c r="J7" s="70"/>
      <c r="K7" s="70"/>
      <c r="L7" s="131"/>
      <c r="M7" s="132">
        <f>SUM(M5:M6)</f>
        <v>1228416</v>
      </c>
      <c r="N7" s="133">
        <f>SUM(N5:N6)</f>
        <v>28416</v>
      </c>
    </row>
    <row r="8" spans="2:14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>
      <c r="B10" s="63" t="str">
        <f t="shared" ref="B10:B11" si="5">LEFT(C10,3)</f>
        <v>350</v>
      </c>
      <c r="C10" s="4" t="s">
        <v>606</v>
      </c>
      <c r="D10" s="4" t="s">
        <v>609</v>
      </c>
      <c r="E10" s="6">
        <v>2000000</v>
      </c>
      <c r="F10" s="5">
        <v>45296</v>
      </c>
      <c r="G10" s="65">
        <f>'yi-üfe-dikey'!$E$6</f>
        <v>45657</v>
      </c>
      <c r="H10" s="59" t="str">
        <f>IF(F10&lt;='yi-üfe-dikey'!$E$5,'yi-üfe-dikey'!$F$4,YEAR(F10)&amp;TEXT((MONTH(F10)),"00"))</f>
        <v>202409</v>
      </c>
      <c r="I10" s="59" t="str">
        <f t="shared" ref="I10:I11" si="6">YEAR(G10)&amp;TEXT((MONTH(G10)),"00")</f>
        <v>202412</v>
      </c>
      <c r="J10" s="60">
        <f>VLOOKUP(H10,'yi-üfe-dikey'!A:B,2,0)</f>
        <v>3659.84</v>
      </c>
      <c r="K10" s="60">
        <f>VLOOKUP(I10,'yi-üfe-dikey'!A:B,2,0)</f>
        <v>3746.52</v>
      </c>
      <c r="L10" s="61">
        <f t="shared" ref="L10:L11" si="7">ROUND(K10/J10,5)</f>
        <v>1.0236799999999999</v>
      </c>
      <c r="M10" s="62">
        <f t="shared" ref="M10:M11" si="8">ROUND(E10*L10,2)</f>
        <v>2047360</v>
      </c>
      <c r="N10" s="26">
        <f t="shared" ref="N10:N11" si="9">+M10-E10</f>
        <v>47360</v>
      </c>
    </row>
    <row r="11" spans="2:14">
      <c r="B11" s="63" t="str">
        <f t="shared" si="5"/>
        <v>350</v>
      </c>
      <c r="C11" s="4" t="s">
        <v>606</v>
      </c>
      <c r="D11" s="4" t="s">
        <v>610</v>
      </c>
      <c r="E11" s="6">
        <v>100000</v>
      </c>
      <c r="F11" s="5">
        <v>45356</v>
      </c>
      <c r="G11" s="65">
        <f>'yi-üfe-dikey'!$E$6</f>
        <v>45657</v>
      </c>
      <c r="H11" s="59" t="str">
        <f>IF(F11&lt;='yi-üfe-dikey'!$E$5,'yi-üfe-dikey'!$F$4,YEAR(F11)&amp;TEXT((MONTH(F11)),"00"))</f>
        <v>202409</v>
      </c>
      <c r="I11" s="59" t="str">
        <f t="shared" si="6"/>
        <v>202412</v>
      </c>
      <c r="J11" s="60">
        <f>VLOOKUP(H11,'yi-üfe-dikey'!A:B,2,0)</f>
        <v>3659.84</v>
      </c>
      <c r="K11" s="60">
        <f>VLOOKUP(I11,'yi-üfe-dikey'!A:B,2,0)</f>
        <v>3746.52</v>
      </c>
      <c r="L11" s="61">
        <f t="shared" si="7"/>
        <v>1.0236799999999999</v>
      </c>
      <c r="M11" s="62">
        <f t="shared" si="8"/>
        <v>102368</v>
      </c>
      <c r="N11" s="26">
        <f t="shared" si="9"/>
        <v>2368</v>
      </c>
    </row>
    <row r="12" spans="2:14" s="15" customFormat="1">
      <c r="B12" s="134"/>
      <c r="C12" s="127"/>
      <c r="E12" s="25">
        <f>SUM(E10:E11)</f>
        <v>2100000</v>
      </c>
      <c r="G12" s="134"/>
      <c r="H12" s="126"/>
      <c r="I12" s="126"/>
      <c r="J12" s="134"/>
      <c r="K12" s="134"/>
      <c r="L12" s="134"/>
      <c r="M12" s="70">
        <f>SUM(M10:M11)</f>
        <v>2149728</v>
      </c>
      <c r="N12" s="34">
        <f>SUM(N10:N11)</f>
        <v>49728</v>
      </c>
    </row>
    <row r="13" spans="2:14">
      <c r="C13" s="4"/>
      <c r="H13" s="63"/>
      <c r="I13" s="63"/>
      <c r="J13" s="64"/>
      <c r="K13" s="64"/>
      <c r="L13" s="64"/>
      <c r="M13" s="64"/>
      <c r="N13" s="17"/>
    </row>
    <row r="14" spans="2:14">
      <c r="C14" s="4"/>
      <c r="H14" s="63"/>
      <c r="I14" s="63"/>
      <c r="J14" s="64"/>
      <c r="K14" s="64"/>
      <c r="L14" s="64"/>
      <c r="M14" s="64"/>
      <c r="N14" s="17"/>
    </row>
    <row r="15" spans="2:14">
      <c r="C15" s="4"/>
      <c r="H15" s="63"/>
      <c r="I15" s="63"/>
      <c r="J15" s="64"/>
      <c r="K15" s="64"/>
      <c r="L15" s="64"/>
      <c r="M15" s="64"/>
      <c r="N15" s="17"/>
    </row>
    <row r="16" spans="2:14">
      <c r="C16" s="4"/>
      <c r="H16" s="63"/>
      <c r="I16" s="63"/>
      <c r="J16" s="64"/>
      <c r="K16" s="64"/>
      <c r="L16" s="64"/>
      <c r="M16" s="64"/>
      <c r="N16" s="1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6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7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10"/>
  <sheetViews>
    <sheetView topLeftCell="E1" workbookViewId="0">
      <selection activeCell="E26" sqref="E26"/>
    </sheetView>
  </sheetViews>
  <sheetFormatPr defaultColWidth="9" defaultRowHeight="14.25"/>
  <cols>
    <col min="1" max="1" width="2.6640625" style="17" customWidth="1"/>
    <col min="2" max="2" width="9" style="64"/>
    <col min="3" max="3" width="14.33203125" style="17" customWidth="1"/>
    <col min="4" max="5" width="20.1328125" style="17" customWidth="1"/>
    <col min="6" max="6" width="12.53125" style="6" customWidth="1"/>
    <col min="7" max="7" width="11" style="17" customWidth="1"/>
    <col min="8" max="8" width="14.33203125" style="64" customWidth="1"/>
    <col min="9" max="9" width="15.86328125" style="63" customWidth="1"/>
    <col min="10" max="10" width="13.1328125" style="63" bestFit="1" customWidth="1"/>
    <col min="11" max="11" width="12.53125" style="64" customWidth="1"/>
    <col min="12" max="12" width="13.1328125" style="64" bestFit="1" customWidth="1"/>
    <col min="13" max="13" width="9.53125" style="64" bestFit="1" customWidth="1"/>
    <col min="14" max="14" width="13.46484375" style="64" customWidth="1"/>
    <col min="15" max="15" width="13.6640625" style="24" customWidth="1"/>
    <col min="16" max="16384" width="9" style="17"/>
  </cols>
  <sheetData>
    <row r="1" spans="2:15" s="10" customFormat="1">
      <c r="B1" s="55"/>
      <c r="F1" s="23"/>
      <c r="H1" s="55"/>
      <c r="I1" s="54"/>
      <c r="J1" s="54"/>
      <c r="K1" s="55"/>
      <c r="L1" s="55"/>
      <c r="M1" s="55"/>
      <c r="N1" s="55"/>
      <c r="O1" s="46" t="s">
        <v>663</v>
      </c>
    </row>
    <row r="2" spans="2:15" s="10" customFormat="1">
      <c r="B2" s="55"/>
      <c r="F2" s="23"/>
      <c r="H2" s="55"/>
      <c r="I2" s="54"/>
      <c r="J2" s="54"/>
      <c r="K2" s="55"/>
      <c r="L2" s="55"/>
      <c r="M2" s="55"/>
      <c r="N2" s="55"/>
      <c r="O2" s="47" t="s">
        <v>662</v>
      </c>
    </row>
    <row r="3" spans="2:15" ht="39.4">
      <c r="B3" s="81" t="s">
        <v>143</v>
      </c>
      <c r="C3" s="1" t="s">
        <v>148</v>
      </c>
      <c r="D3" s="1" t="s">
        <v>130</v>
      </c>
      <c r="E3" s="1"/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5">
      <c r="B4" s="63" t="str">
        <f t="shared" ref="B4:B5" si="0">LEFT(C4,3)</f>
        <v>242</v>
      </c>
      <c r="C4" s="4" t="s">
        <v>643</v>
      </c>
      <c r="D4" s="4" t="s">
        <v>659</v>
      </c>
      <c r="E4" s="4"/>
      <c r="F4" s="6">
        <v>1000000</v>
      </c>
      <c r="G4" s="5">
        <v>39090</v>
      </c>
      <c r="H4" s="65">
        <f>'yi-üfe-dikey'!$E$6</f>
        <v>45657</v>
      </c>
      <c r="I4" s="59" t="str">
        <f>IF(G4&lt;='yi-üfe-dikey'!$E$5,'yi-üfe-dikey'!$F$4,YEAR(G4)&amp;TEXT((MONTH(G4)),"00"))</f>
        <v>202409</v>
      </c>
      <c r="J4" s="59" t="str">
        <f t="shared" ref="J4" si="1">YEAR(H4)&amp;TEXT((MONTH(H4)),"00")</f>
        <v>202412</v>
      </c>
      <c r="K4" s="60">
        <f>VLOOKUP(I4,'yi-üfe-dikey'!A:B,2,0)</f>
        <v>3659.84</v>
      </c>
      <c r="L4" s="60">
        <f>VLOOKUP(J4,'yi-üfe-dikey'!A:B,2,0)</f>
        <v>3746.52</v>
      </c>
      <c r="M4" s="61">
        <f t="shared" ref="M4" si="2">ROUND(L4/K4,5)</f>
        <v>1.0236799999999999</v>
      </c>
      <c r="N4" s="62">
        <f t="shared" ref="N4" si="3">ROUND(F4*M4,2)</f>
        <v>1023680</v>
      </c>
      <c r="O4" s="26">
        <f t="shared" ref="O4" si="4">+N4-F4</f>
        <v>23680</v>
      </c>
    </row>
    <row r="5" spans="2:15">
      <c r="B5" s="63" t="str">
        <f t="shared" si="0"/>
        <v/>
      </c>
      <c r="C5" s="4"/>
      <c r="D5" s="4"/>
      <c r="E5" s="4"/>
      <c r="G5" s="5"/>
      <c r="H5" s="65"/>
      <c r="I5" s="59"/>
      <c r="J5" s="59"/>
      <c r="K5" s="60"/>
      <c r="L5" s="60"/>
      <c r="M5" s="61"/>
      <c r="N5" s="62"/>
      <c r="O5" s="26"/>
    </row>
    <row r="8" spans="2:15" ht="39.4">
      <c r="B8" s="81" t="s">
        <v>143</v>
      </c>
      <c r="C8" s="1" t="s">
        <v>148</v>
      </c>
      <c r="D8" s="1" t="s">
        <v>130</v>
      </c>
      <c r="E8" s="3" t="s">
        <v>656</v>
      </c>
      <c r="F8" s="7" t="s">
        <v>664</v>
      </c>
      <c r="G8" s="2" t="s">
        <v>144</v>
      </c>
      <c r="H8" s="67" t="s">
        <v>153</v>
      </c>
      <c r="I8" s="56" t="s">
        <v>152</v>
      </c>
      <c r="J8" s="56" t="s">
        <v>154</v>
      </c>
      <c r="K8" s="56" t="s">
        <v>152</v>
      </c>
      <c r="L8" s="56" t="s">
        <v>154</v>
      </c>
      <c r="M8" s="57" t="s">
        <v>150</v>
      </c>
      <c r="N8" s="58" t="s">
        <v>151</v>
      </c>
      <c r="O8" s="29" t="s">
        <v>155</v>
      </c>
    </row>
    <row r="9" spans="2:15">
      <c r="B9" s="63" t="str">
        <f t="shared" ref="B9:B10" si="5">LEFT(C9,3)</f>
        <v>245</v>
      </c>
      <c r="C9" s="4" t="s">
        <v>249</v>
      </c>
      <c r="D9" s="4" t="s">
        <v>660</v>
      </c>
      <c r="E9" s="6">
        <v>90000</v>
      </c>
      <c r="F9" s="6">
        <v>2931651</v>
      </c>
      <c r="G9" s="5">
        <v>45291</v>
      </c>
      <c r="H9" s="65">
        <f>'yi-üfe-dikey'!$E$6</f>
        <v>45657</v>
      </c>
      <c r="I9" s="59" t="str">
        <f>IF(G9&lt;='yi-üfe-dikey'!$E$5,'yi-üfe-dikey'!$F$4,YEAR(G9)&amp;TEXT((MONTH(G9)),"00"))</f>
        <v>202409</v>
      </c>
      <c r="J9" s="59" t="str">
        <f t="shared" ref="J9" si="6">YEAR(H9)&amp;TEXT((MONTH(H9)),"00")</f>
        <v>202412</v>
      </c>
      <c r="K9" s="64">
        <f>IF(ISERROR(F9/E9),0,F9/E9)</f>
        <v>32.573900000000002</v>
      </c>
      <c r="L9" s="66">
        <v>35.128399999999999</v>
      </c>
      <c r="M9" s="64">
        <f>IF(ISERROR(L9/K9),0,L9/K9)</f>
        <v>1.0784216811619118</v>
      </c>
      <c r="N9" s="62">
        <f>ROUND(F9*M9,2)</f>
        <v>3161556</v>
      </c>
      <c r="O9" s="26">
        <f t="shared" ref="O9" si="7">+N9-F9</f>
        <v>229905</v>
      </c>
    </row>
    <row r="10" spans="2:15">
      <c r="B10" s="63" t="str">
        <f t="shared" si="5"/>
        <v/>
      </c>
      <c r="C10" s="4"/>
      <c r="D10" s="4"/>
      <c r="E10" s="4"/>
      <c r="G10" s="5"/>
      <c r="H10" s="65"/>
      <c r="I10" s="59"/>
      <c r="J10" s="59"/>
      <c r="K10" s="60"/>
      <c r="L10" s="60"/>
      <c r="N10" s="60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10"/>
  <hyperlinks>
    <hyperlink ref="O2" r:id="rId1"/>
  </hyperlinks>
  <pageMargins left="0.70866141732283472" right="0.70866141732283472" top="0.74803149606299213" bottom="0.74803149606299213" header="0.31496062992125984" footer="0.31496062992125984"/>
  <pageSetup paperSize="9"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yi-üfe-dikey</vt:lpstr>
      <vt:lpstr>Hesap Planı</vt:lpstr>
      <vt:lpstr>Mizan</vt:lpstr>
      <vt:lpstr>15-G</vt:lpstr>
      <vt:lpstr>15-BO</vt:lpstr>
      <vt:lpstr>15-HAO</vt:lpstr>
      <vt:lpstr>159-380-VB</vt:lpstr>
      <vt:lpstr>170-350</vt:lpstr>
      <vt:lpstr>240-249</vt:lpstr>
      <vt:lpstr>258</vt:lpstr>
      <vt:lpstr>250-270</vt:lpstr>
      <vt:lpstr>500</vt:lpstr>
      <vt:lpstr>520-599</vt:lpstr>
      <vt:lpstr>KONTROL</vt:lpstr>
      <vt:lpstr>648-658-697</vt:lpstr>
      <vt:lpstr>ROFM-KOLAY YÖNTEM</vt:lpstr>
      <vt:lpstr>ROFM-BT</vt:lpstr>
      <vt:lpstr>ROFM-TFM</vt:lpstr>
      <vt:lpstr>'500'!Yazdırma_Alanı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2025-02-05T17:42:59Z</dcterms:modified>
</cp:coreProperties>
</file>